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iect2016\922FOCIPALYAKORISPATAK\deviz\"/>
    </mc:Choice>
  </mc:AlternateContent>
  <bookViews>
    <workbookView xWindow="0" yWindow="0" windowWidth="15480" windowHeight="8190"/>
  </bookViews>
  <sheets>
    <sheet name="Deviz General" sheetId="1" r:id="rId1"/>
    <sheet name="CAP3" sheetId="3" r:id="rId2"/>
    <sheet name="CAP4" sheetId="4" r:id="rId3"/>
    <sheet name="CAP5" sheetId="5" r:id="rId4"/>
    <sheet name="CAP6" sheetId="6" r:id="rId5"/>
    <sheet name="grafic" sheetId="9" r:id="rId6"/>
  </sheets>
  <externalReferences>
    <externalReference r:id="rId7"/>
  </externalReferences>
  <definedNames>
    <definedName name="_xlnm.Print_Area" localSheetId="0">'Deviz General'!$A$1:$G$44</definedName>
  </definedNames>
  <calcPr calcId="152511"/>
</workbook>
</file>

<file path=xl/calcChain.xml><?xml version="1.0" encoding="utf-8"?>
<calcChain xmlns="http://schemas.openxmlformats.org/spreadsheetml/2006/main">
  <c r="E26" i="1" l="1"/>
  <c r="E27" i="1"/>
  <c r="E28" i="1"/>
  <c r="E30" i="1"/>
  <c r="E18" i="1"/>
  <c r="E20" i="1"/>
  <c r="E21" i="1"/>
  <c r="E17" i="1"/>
  <c r="E12" i="1"/>
  <c r="E11" i="1"/>
  <c r="E10" i="4"/>
  <c r="E11" i="4"/>
  <c r="E8" i="4"/>
  <c r="F11" i="4" l="1"/>
  <c r="G11" i="4" s="1"/>
  <c r="C8" i="4"/>
  <c r="C11" i="4"/>
  <c r="D11" i="4" s="1"/>
  <c r="C12" i="4"/>
  <c r="D12" i="4" s="1"/>
  <c r="A16" i="9"/>
  <c r="K5" i="9"/>
  <c r="L5" i="9"/>
  <c r="K6" i="9"/>
  <c r="K7" i="9"/>
  <c r="K8" i="9"/>
  <c r="L8" i="9"/>
  <c r="K9" i="9"/>
  <c r="L9" i="9"/>
  <c r="E12" i="4" l="1"/>
  <c r="F12" i="4" s="1"/>
  <c r="G12" i="4" s="1"/>
  <c r="D8" i="4"/>
  <c r="F8" i="4"/>
  <c r="A14" i="9"/>
  <c r="A8" i="9"/>
  <c r="F15" i="9"/>
  <c r="G15" i="9" s="1"/>
  <c r="D13" i="9"/>
  <c r="G13" i="9" s="1"/>
  <c r="D7" i="9"/>
  <c r="G7" i="9" s="1"/>
  <c r="G8" i="4" l="1"/>
  <c r="A10" i="9"/>
  <c r="C40" i="3" l="1"/>
  <c r="C5" i="3" l="1"/>
  <c r="C17" i="1" s="1"/>
  <c r="F27" i="1"/>
  <c r="G27" i="1" s="1"/>
  <c r="F28" i="1"/>
  <c r="G28" i="1" s="1"/>
  <c r="F30" i="1"/>
  <c r="G30" i="1" s="1"/>
  <c r="C40" i="1"/>
  <c r="D40" i="1" s="1"/>
  <c r="C16" i="3"/>
  <c r="C18" i="1" s="1"/>
  <c r="C34" i="3"/>
  <c r="C20" i="1" s="1"/>
  <c r="D20" i="1" s="1"/>
  <c r="E10" i="5"/>
  <c r="F26" i="1"/>
  <c r="G26" i="1" s="1"/>
  <c r="D10" i="1"/>
  <c r="D12" i="1"/>
  <c r="D26" i="1"/>
  <c r="D27" i="1"/>
  <c r="D28" i="1"/>
  <c r="D30" i="1"/>
  <c r="C9" i="6"/>
  <c r="C41" i="1"/>
  <c r="E41" i="1" s="1"/>
  <c r="E40" i="1"/>
  <c r="F40" i="1" s="1"/>
  <c r="G40" i="1" s="1"/>
  <c r="C42" i="1"/>
  <c r="D41" i="1"/>
  <c r="D42" i="1" s="1"/>
  <c r="F41" i="1"/>
  <c r="G41" i="1" s="1"/>
  <c r="G42" i="1" s="1"/>
  <c r="E42" i="1"/>
  <c r="F42" i="1"/>
  <c r="F18" i="1" l="1"/>
  <c r="G18" i="1" s="1"/>
  <c r="D18" i="1"/>
  <c r="E13" i="1"/>
  <c r="D17" i="1"/>
  <c r="F17" i="1"/>
  <c r="G17" i="1" s="1"/>
  <c r="F20" i="1"/>
  <c r="G20" i="1" s="1"/>
  <c r="A12" i="9"/>
  <c r="C13" i="1"/>
  <c r="D11" i="1"/>
  <c r="D13" i="1" s="1"/>
  <c r="F11" i="1" l="1"/>
  <c r="F13" i="1" s="1"/>
  <c r="G11" i="1" l="1"/>
  <c r="G13" i="1" s="1"/>
  <c r="C21" i="1"/>
  <c r="D21" i="1" l="1"/>
  <c r="F21" i="1" l="1"/>
  <c r="G21" i="1" l="1"/>
  <c r="L11" i="9" l="1"/>
  <c r="F17" i="9" s="1"/>
  <c r="G17" i="9" s="1"/>
  <c r="C20" i="4" l="1"/>
  <c r="E20" i="4" s="1"/>
  <c r="D20" i="4" l="1"/>
  <c r="F20" i="4"/>
  <c r="G20" i="4" s="1"/>
  <c r="C29" i="1"/>
  <c r="E29" i="1" s="1"/>
  <c r="F29" i="1"/>
  <c r="G29" i="1" s="1"/>
  <c r="D29" i="1"/>
  <c r="L6" i="9" l="1"/>
  <c r="C9" i="4"/>
  <c r="C13" i="4" l="1"/>
  <c r="E9" i="4"/>
  <c r="E13" i="4" s="1"/>
  <c r="D9" i="4"/>
  <c r="D13" i="4" s="1"/>
  <c r="F9" i="4"/>
  <c r="E9" i="9"/>
  <c r="I7" i="9"/>
  <c r="L7" i="9"/>
  <c r="C10" i="4"/>
  <c r="G9" i="4" l="1"/>
  <c r="F9" i="9"/>
  <c r="F24" i="9" s="1"/>
  <c r="G9" i="9"/>
  <c r="E24" i="9"/>
  <c r="D10" i="4"/>
  <c r="D22" i="4" s="1"/>
  <c r="L10" i="9"/>
  <c r="L12" i="9" s="1"/>
  <c r="D11" i="9"/>
  <c r="I9" i="9"/>
  <c r="F10" i="4" l="1"/>
  <c r="F13" i="4" s="1"/>
  <c r="E22" i="4"/>
  <c r="G11" i="9"/>
  <c r="D24" i="9"/>
  <c r="C25" i="9" s="1"/>
  <c r="C25" i="1"/>
  <c r="E25" i="1" s="1"/>
  <c r="C22" i="4"/>
  <c r="C12" i="5" l="1"/>
  <c r="E12" i="5" s="1"/>
  <c r="C11" i="5"/>
  <c r="E11" i="5" s="1"/>
  <c r="C4" i="5"/>
  <c r="D25" i="1"/>
  <c r="D31" i="1" s="1"/>
  <c r="F51" i="1"/>
  <c r="F25" i="1"/>
  <c r="C31" i="1"/>
  <c r="G10" i="4"/>
  <c r="F22" i="4"/>
  <c r="E13" i="5" l="1"/>
  <c r="C36" i="1" s="1"/>
  <c r="F36" i="1" s="1"/>
  <c r="G36" i="1" s="1"/>
  <c r="G13" i="4"/>
  <c r="G22" i="4" s="1"/>
  <c r="G25" i="1"/>
  <c r="G31" i="1" s="1"/>
  <c r="F31" i="1"/>
  <c r="E4" i="5"/>
  <c r="C5" i="5"/>
  <c r="E5" i="5" s="1"/>
  <c r="C35" i="1" s="1"/>
  <c r="E35" i="1" s="1"/>
  <c r="E31" i="1"/>
  <c r="D36" i="1" l="1"/>
  <c r="F35" i="1"/>
  <c r="G35" i="1" s="1"/>
  <c r="D35" i="1"/>
  <c r="E6" i="5"/>
  <c r="C33" i="1" s="1"/>
  <c r="E33" i="1" s="1"/>
  <c r="C34" i="1"/>
  <c r="E34" i="1" s="1"/>
  <c r="F33" i="1" l="1"/>
  <c r="D33" i="1"/>
  <c r="E44" i="1"/>
  <c r="D34" i="1"/>
  <c r="D44" i="1" s="1"/>
  <c r="C44" i="1"/>
  <c r="F24" i="3" s="1"/>
  <c r="G33" i="1" l="1"/>
  <c r="C23" i="3"/>
  <c r="C24" i="3" s="1"/>
  <c r="C19" i="1" s="1"/>
  <c r="E19" i="1" s="1"/>
  <c r="C46" i="3"/>
  <c r="C45" i="3"/>
  <c r="F34" i="1"/>
  <c r="C47" i="3" l="1"/>
  <c r="I5" i="9" s="1"/>
  <c r="C5" i="9" s="1"/>
  <c r="D19" i="1"/>
  <c r="G34" i="1"/>
  <c r="G44" i="1" s="1"/>
  <c r="F44" i="1"/>
  <c r="C22" i="1" l="1"/>
  <c r="C23" i="1" s="1"/>
  <c r="C17" i="5" s="1"/>
  <c r="E17" i="5" s="1"/>
  <c r="E18" i="5" s="1"/>
  <c r="C37" i="1" s="1"/>
  <c r="E37" i="1" s="1"/>
  <c r="E38" i="1" s="1"/>
  <c r="C18" i="9"/>
  <c r="D5" i="9"/>
  <c r="F19" i="1"/>
  <c r="D22" i="1" l="1"/>
  <c r="D23" i="1" s="1"/>
  <c r="E22" i="1"/>
  <c r="E23" i="1" s="1"/>
  <c r="E43" i="1" s="1"/>
  <c r="D37" i="1"/>
  <c r="D38" i="1" s="1"/>
  <c r="C38" i="1"/>
  <c r="C43" i="1" s="1"/>
  <c r="F37" i="1"/>
  <c r="G37" i="1" s="1"/>
  <c r="G38" i="1" s="1"/>
  <c r="G19" i="1"/>
  <c r="D18" i="9"/>
  <c r="E5" i="9"/>
  <c r="D43" i="1" l="1"/>
  <c r="F22" i="1"/>
  <c r="G22" i="1" s="1"/>
  <c r="G23" i="1" s="1"/>
  <c r="G43" i="1" s="1"/>
  <c r="F38" i="1"/>
  <c r="E18" i="9"/>
  <c r="F5" i="9"/>
  <c r="F18" i="9" s="1"/>
  <c r="F23" i="1" l="1"/>
  <c r="F43" i="1" s="1"/>
  <c r="G5" i="9"/>
  <c r="G18" i="9" s="1"/>
  <c r="C19" i="9"/>
  <c r="G19" i="9" s="1"/>
  <c r="F20" i="9" s="1"/>
  <c r="E20" i="9" l="1"/>
  <c r="C20" i="9"/>
  <c r="D20" i="9"/>
  <c r="G20" i="9" l="1"/>
</calcChain>
</file>

<file path=xl/comments1.xml><?xml version="1.0" encoding="utf-8"?>
<comments xmlns="http://schemas.openxmlformats.org/spreadsheetml/2006/main">
  <authors>
    <author>User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EZEN MEG VALTOZTATNEK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ERTEKET BEIRNI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ERTEKET BEIRNI</t>
        </r>
      </text>
    </comment>
  </commentList>
</comments>
</file>

<file path=xl/sharedStrings.xml><?xml version="1.0" encoding="utf-8"?>
<sst xmlns="http://schemas.openxmlformats.org/spreadsheetml/2006/main" count="221" uniqueCount="150">
  <si>
    <t>DEVIZ GENERAL</t>
  </si>
  <si>
    <t>conform H.G. 28 din 22 ianuarie 2008, publicată în Monitorul Oficial Nr.48/2008</t>
  </si>
  <si>
    <t>Nr. crt.</t>
  </si>
  <si>
    <t>Denumirea capitolelor şi subcapitolelor de cheltuieli</t>
  </si>
  <si>
    <t>Valoare (fără TVA)</t>
  </si>
  <si>
    <t>TVA</t>
  </si>
  <si>
    <t>Valoare (inclusiv TVA)</t>
  </si>
  <si>
    <t>RON</t>
  </si>
  <si>
    <t>EURO</t>
  </si>
  <si>
    <t>CAPITOLUL 1. Cheltuieli pentru obţinerea şi amenajarea terenului</t>
  </si>
  <si>
    <t>1.1</t>
  </si>
  <si>
    <t>Obţinerea terenului</t>
  </si>
  <si>
    <t>1.2</t>
  </si>
  <si>
    <t>Amenajarea terenului</t>
  </si>
  <si>
    <t>1.3</t>
  </si>
  <si>
    <t>Amenajări pentru protecţia mediului şi aducerea la starea iniţială</t>
  </si>
  <si>
    <t>TOTAL CAPITOL 1.</t>
  </si>
  <si>
    <t>CAPITOLUL 2. Cheltuieli pentru asigurarea utilităţilor necesare obiectivului</t>
  </si>
  <si>
    <t>TOTAL CAPITOL 2.</t>
  </si>
  <si>
    <t>CAPITOLUL 3. Cheltuieli pentru proiectare şi asistenţă tehnică</t>
  </si>
  <si>
    <t>3.1</t>
  </si>
  <si>
    <t>Studii de teren</t>
  </si>
  <si>
    <t>3.2</t>
  </si>
  <si>
    <t>Taxe pentru obţinerea de avize, acorduri şi autorizaţii</t>
  </si>
  <si>
    <t>3.3</t>
  </si>
  <si>
    <t>Proiectare şi inginerie</t>
  </si>
  <si>
    <t>3.4</t>
  </si>
  <si>
    <t>Organizarea procedurilor de achiziţie</t>
  </si>
  <si>
    <t>3.5</t>
  </si>
  <si>
    <t>Consultanţă</t>
  </si>
  <si>
    <t>3.6</t>
  </si>
  <si>
    <t>Asistenţa tehnică</t>
  </si>
  <si>
    <t>TOTAL CAPITOL 3.</t>
  </si>
  <si>
    <t>CAPITOLUL 4. Cheltuieli pentru investiţia de bază</t>
  </si>
  <si>
    <t>4.1.</t>
  </si>
  <si>
    <t>Construcţii şi instalaţii</t>
  </si>
  <si>
    <t>4.2</t>
  </si>
  <si>
    <t>Montaj utilaj tehnologic</t>
  </si>
  <si>
    <t>4.3</t>
  </si>
  <si>
    <t>Utilaje, echipamente tehnologice şi funcţionale cu montaj</t>
  </si>
  <si>
    <t>4.4</t>
  </si>
  <si>
    <t>Utilaje fără montaj şi echipamente de transport</t>
  </si>
  <si>
    <t>4.5</t>
  </si>
  <si>
    <t>Dotări</t>
  </si>
  <si>
    <t>4.6</t>
  </si>
  <si>
    <t>Active şi necorporale</t>
  </si>
  <si>
    <t>TOTAL CAPITOL 4.</t>
  </si>
  <si>
    <t>CAPITOLUL 5. Alte cheltuieli</t>
  </si>
  <si>
    <t>5.1</t>
  </si>
  <si>
    <t>Organizare de şantier</t>
  </si>
  <si>
    <t>5.1.1.</t>
  </si>
  <si>
    <t>Lucrări de construcţii</t>
  </si>
  <si>
    <t>5.1.2.</t>
  </si>
  <si>
    <t>Cheltuieli conexe organizării şantierului</t>
  </si>
  <si>
    <t>5.2</t>
  </si>
  <si>
    <t>Comisioane, cote, taxe, costul creditului</t>
  </si>
  <si>
    <t>5.3</t>
  </si>
  <si>
    <t xml:space="preserve">Cheltuieli diverse şi neprevăzute </t>
  </si>
  <si>
    <t>TOTAL CAPITOL 5.</t>
  </si>
  <si>
    <t>CAPITOLUL 6. Cheltuieli pentru probe tehnologice şi teste şi predare la beneficiar</t>
  </si>
  <si>
    <t>6.1</t>
  </si>
  <si>
    <t>Pregătirea personalului de exploatare</t>
  </si>
  <si>
    <t>6.2</t>
  </si>
  <si>
    <t>Probe tehnologiceşi teste</t>
  </si>
  <si>
    <t>TOTAL CAPITOL 6.</t>
  </si>
  <si>
    <t xml:space="preserve">T O T A L  G E N E R A L </t>
  </si>
  <si>
    <t>Din care C + M</t>
  </si>
  <si>
    <t>Nr.crt.</t>
  </si>
  <si>
    <t>3.1. Studii de teren</t>
  </si>
  <si>
    <t>CHELTUIELI</t>
  </si>
  <si>
    <t>VALOARE              [RON]</t>
  </si>
  <si>
    <t>TOTAL</t>
  </si>
  <si>
    <t>3.2. CHELTUIELI PENTRU AVIZE, ACORDURI ŞI AUTORIZAŢII</t>
  </si>
  <si>
    <t>AVIZUL, ACORDUL, AUTORIZAŢIA</t>
  </si>
  <si>
    <t>Certificat de urbanism</t>
  </si>
  <si>
    <t>Autorizaţia de construcţie</t>
  </si>
  <si>
    <t>Acord Electrica</t>
  </si>
  <si>
    <t>Acord Gaze</t>
  </si>
  <si>
    <t>Acord pentru protecţia şi amenajarea mediului</t>
  </si>
  <si>
    <t>Aviz Gospodărirea Apelor</t>
  </si>
  <si>
    <t>Aviz Oficiul de cadastru</t>
  </si>
  <si>
    <t>3.3. Proiectare şi inginerie</t>
  </si>
  <si>
    <t>Studiu de fezabilitate</t>
  </si>
  <si>
    <t>Documentaţii pentru avize, acorduri şi PAC</t>
  </si>
  <si>
    <t>3.4. Organizarea procedurilor de achiziţie</t>
  </si>
  <si>
    <t>pentru execuţia lucrărilor</t>
  </si>
  <si>
    <t>Conceperea documentaţiei pentru licitaţie</t>
  </si>
  <si>
    <t>Multiplicare licitaţie</t>
  </si>
  <si>
    <t>Corespondenţa de organizare</t>
  </si>
  <si>
    <t>Cheltuieli comisie evaluare licitaţie</t>
  </si>
  <si>
    <t>Anunţuri publicitare</t>
  </si>
  <si>
    <t>3.5. Consultanţă</t>
  </si>
  <si>
    <t>3.6. ASISTENŢĂ TEHNICĂ</t>
  </si>
  <si>
    <t>Verificare proiect</t>
  </si>
  <si>
    <t>Asistenţă tehnică</t>
  </si>
  <si>
    <t>Dirigenţie</t>
  </si>
  <si>
    <t>4.1.1. DEVIZ PE OBIECT NR.1 - LUCRĂRI DE DRUM</t>
  </si>
  <si>
    <t>Valoare                  (inclusiv TVA)</t>
  </si>
  <si>
    <t>I. LUCRĂRI DE CONSTRUCŢII</t>
  </si>
  <si>
    <t>TOTAL I.</t>
  </si>
  <si>
    <t>II. MONTAJ</t>
  </si>
  <si>
    <t>1</t>
  </si>
  <si>
    <t>Montaj utilaj şi echipamente tehnologice</t>
  </si>
  <si>
    <t>TOTAL II.</t>
  </si>
  <si>
    <t>III. PROCURARE</t>
  </si>
  <si>
    <t>Utilaje şi echipamente tehnologice</t>
  </si>
  <si>
    <t>2</t>
  </si>
  <si>
    <t>Utilaje şi echipamente de transport</t>
  </si>
  <si>
    <t>3</t>
  </si>
  <si>
    <t>TOTAL III.</t>
  </si>
  <si>
    <t>TOTAL (TOTAL I.+ TOTAL II. + TOTAL III.)</t>
  </si>
  <si>
    <t>5.1. Organizare de şantier</t>
  </si>
  <si>
    <t>OBIECTUL (CAP.4.)</t>
  </si>
  <si>
    <t xml:space="preserve">VALOARE DE REFERINŢĂ </t>
  </si>
  <si>
    <t>Cota procentuală [%]</t>
  </si>
  <si>
    <t>Valoare         [RON]</t>
  </si>
  <si>
    <t>5.1.1</t>
  </si>
  <si>
    <t>5.1.2</t>
  </si>
  <si>
    <t xml:space="preserve">TOTAL </t>
  </si>
  <si>
    <t>5.2. Comisioane, cote, taxe, costul creditului</t>
  </si>
  <si>
    <t xml:space="preserve">Comisionul băncii finanţatoare </t>
  </si>
  <si>
    <t xml:space="preserve">Cota aferentă Inspecţiei pentru controlul calităţii lucrărilor de construcţii </t>
  </si>
  <si>
    <t xml:space="preserve">Cota aferentă Casei Sociale a Constructorilor </t>
  </si>
  <si>
    <t xml:space="preserve">5.3. Cheltuieli diverse şi neprevăzute </t>
  </si>
  <si>
    <t>6. CHELTUIELI PENTRU DAREA ÎN EXPLOATARE</t>
  </si>
  <si>
    <t>Valoare                            [RON]</t>
  </si>
  <si>
    <t xml:space="preserve">Cheltuielile necesare instruirii personalului în vederea folosirii corecte a utilajelor şi tehnologiilor </t>
  </si>
  <si>
    <t>Cheltuielile aferente executării probelor şi încercărilor, rodajelor, expertizelor la recepţie</t>
  </si>
  <si>
    <t>Mii lei</t>
  </si>
  <si>
    <t>Mii euro</t>
  </si>
  <si>
    <t>Proiect tehnic şi caiete de sarcini+DE</t>
  </si>
  <si>
    <t>OBIECTIVUL</t>
  </si>
  <si>
    <t>ANUL</t>
  </si>
  <si>
    <t xml:space="preserve">Total în RON </t>
  </si>
  <si>
    <t>Eş.fiz</t>
  </si>
  <si>
    <t>Eş. val.</t>
  </si>
  <si>
    <t>TOTAL (C+M)+(Consultanta si asistenta tehnica)</t>
  </si>
  <si>
    <t>IN PROCENTE</t>
  </si>
  <si>
    <t>Consultanta Asistenta Tehnica</t>
  </si>
  <si>
    <t>Cheltuieli diverse şi neprevăzute 2 % din valoarea (cap. 1.2 + 1.3 + 2 + 3 + 4)</t>
  </si>
  <si>
    <t>Managementul proiectului</t>
  </si>
  <si>
    <t>TERASAMENTE</t>
  </si>
  <si>
    <t>în RON / EURO la cursul ECB RON / EURO 17/05/2016</t>
  </si>
  <si>
    <t>Studiu topo geo</t>
  </si>
  <si>
    <t>Dotari</t>
  </si>
  <si>
    <t xml:space="preserve">Categorie:  TERASAMENTEAMENAJARE TEREN DE SPORT SI ALEI </t>
  </si>
  <si>
    <t xml:space="preserve">Categorie:  AMENAJARE TEREN DE SPORT SI ALEI </t>
  </si>
  <si>
    <t>Categorie:  AMENAJARE IRIGATIE TEREN DE SPORT</t>
  </si>
  <si>
    <t>Categorie: depozit materiale</t>
  </si>
  <si>
    <t>Categorie: 04 Iluminat teren de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</si>
</sst>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#,##0.0"/>
    <numFmt numFmtId="166" formatCode="_-* #,##0.00\ _l_e_i_-;\-* #,##0.00\ _l_e_i_-;_-* \-??\ _l_e_i_-;_-@_-"/>
    <numFmt numFmtId="167" formatCode="_-* #,##0\ _l_e_i_-;\-* #,##0\ _l_e_i_-;_-* \-??\ _l_e_i_-;_-@_-"/>
    <numFmt numFmtId="168" formatCode="#,##0.000"/>
    <numFmt numFmtId="169" formatCode="_-* #,##0.0000\ _l_e_i_-;\-* #,##0.0000\ _l_e_i_-;_-* \-??\ _l_e_i_-;_-@_-"/>
    <numFmt numFmtId="170" formatCode="0.000"/>
    <numFmt numFmtId="171" formatCode="#,##0.00000"/>
    <numFmt numFmtId="172" formatCode="_-* #,##0.000\ _l_e_i_-;\-* #,##0.000\ _l_e_i_-;_-* \-??\ _l_e_i_-;_-@_-"/>
  </numFmts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Arial Narrow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rgb="FFFF0000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32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166" fontId="10" fillId="0" borderId="0" applyFill="0" applyBorder="0" applyAlignment="0" applyProtection="0"/>
    <xf numFmtId="9" fontId="10" fillId="0" borderId="0" applyFont="0" applyFill="0" applyBorder="0" applyAlignment="0" applyProtection="0"/>
    <xf numFmtId="4" fontId="14" fillId="0" borderId="0" applyFill="0" applyBorder="0" applyAlignment="0" applyProtection="0"/>
    <xf numFmtId="0" fontId="2" fillId="0" borderId="0"/>
    <xf numFmtId="0" fontId="1" fillId="0" borderId="0"/>
    <xf numFmtId="4" fontId="20" fillId="0" borderId="0" applyFill="0" applyBorder="0" applyAlignment="0" applyProtection="0"/>
    <xf numFmtId="171" fontId="14" fillId="0" borderId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10" fillId="0" borderId="0" xfId="0" applyFont="1" applyFill="1"/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4" fillId="0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8" fontId="4" fillId="2" borderId="13" xfId="0" applyNumberFormat="1" applyFont="1" applyFill="1" applyBorder="1" applyAlignment="1">
      <alignment horizontal="right" vertical="center"/>
    </xf>
    <xf numFmtId="167" fontId="10" fillId="0" borderId="0" xfId="1" applyNumberForma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3" fontId="5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1" applyNumberForma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horizontal="right"/>
    </xf>
    <xf numFmtId="168" fontId="5" fillId="4" borderId="14" xfId="0" applyNumberFormat="1" applyFont="1" applyFill="1" applyBorder="1" applyAlignment="1">
      <alignment horizontal="right" wrapText="1"/>
    </xf>
    <xf numFmtId="168" fontId="8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3" fillId="0" borderId="0" xfId="0" applyNumberFormat="1" applyFont="1"/>
    <xf numFmtId="166" fontId="10" fillId="0" borderId="0" xfId="1"/>
    <xf numFmtId="0" fontId="4" fillId="0" borderId="2" xfId="0" applyFont="1" applyBorder="1" applyAlignment="1">
      <alignment horizontal="left" vertical="center"/>
    </xf>
    <xf numFmtId="3" fontId="16" fillId="0" borderId="0" xfId="0" applyNumberFormat="1" applyFont="1"/>
    <xf numFmtId="169" fontId="17" fillId="0" borderId="0" xfId="1" applyNumberFormat="1" applyFont="1" applyFill="1" applyBorder="1" applyAlignment="1" applyProtection="1">
      <alignment horizontal="right"/>
    </xf>
    <xf numFmtId="167" fontId="16" fillId="0" borderId="0" xfId="1" applyNumberFormat="1" applyFont="1" applyFill="1" applyBorder="1" applyAlignment="1" applyProtection="1"/>
    <xf numFmtId="167" fontId="16" fillId="0" borderId="0" xfId="1" applyNumberFormat="1" applyFont="1" applyFill="1" applyBorder="1" applyAlignment="1" applyProtection="1">
      <alignment horizontal="center"/>
    </xf>
    <xf numFmtId="0" fontId="17" fillId="0" borderId="0" xfId="0" applyFont="1"/>
    <xf numFmtId="2" fontId="18" fillId="0" borderId="2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vertical="center"/>
    </xf>
    <xf numFmtId="167" fontId="16" fillId="0" borderId="2" xfId="1" applyNumberFormat="1" applyFont="1" applyFill="1" applyBorder="1" applyAlignment="1" applyProtection="1">
      <alignment horizontal="center" wrapText="1"/>
    </xf>
    <xf numFmtId="2" fontId="16" fillId="0" borderId="2" xfId="0" applyNumberFormat="1" applyFont="1" applyBorder="1"/>
    <xf numFmtId="1" fontId="16" fillId="0" borderId="2" xfId="0" applyNumberFormat="1" applyFont="1" applyBorder="1" applyAlignment="1">
      <alignment horizontal="center"/>
    </xf>
    <xf numFmtId="167" fontId="16" fillId="0" borderId="2" xfId="1" applyNumberFormat="1" applyFont="1" applyFill="1" applyBorder="1" applyAlignment="1" applyProtection="1">
      <alignment horizontal="center"/>
    </xf>
    <xf numFmtId="2" fontId="16" fillId="0" borderId="2" xfId="0" applyNumberFormat="1" applyFont="1" applyBorder="1" applyAlignment="1">
      <alignment wrapText="1"/>
    </xf>
    <xf numFmtId="167" fontId="16" fillId="7" borderId="2" xfId="1" applyNumberFormat="1" applyFont="1" applyFill="1" applyBorder="1" applyAlignment="1" applyProtection="1">
      <alignment wrapText="1"/>
    </xf>
    <xf numFmtId="167" fontId="16" fillId="7" borderId="2" xfId="1" applyNumberFormat="1" applyFont="1" applyFill="1" applyBorder="1" applyAlignment="1" applyProtection="1"/>
    <xf numFmtId="167" fontId="16" fillId="0" borderId="19" xfId="1" applyNumberFormat="1" applyFont="1" applyFill="1" applyBorder="1" applyAlignment="1" applyProtection="1">
      <alignment horizontal="center"/>
    </xf>
    <xf numFmtId="167" fontId="16" fillId="0" borderId="2" xfId="1" applyNumberFormat="1" applyFont="1" applyFill="1" applyBorder="1" applyAlignment="1" applyProtection="1">
      <alignment horizontal="center" vertical="center" wrapText="1"/>
    </xf>
    <xf numFmtId="167" fontId="16" fillId="0" borderId="2" xfId="1" applyNumberFormat="1" applyFont="1" applyFill="1" applyBorder="1" applyAlignment="1" applyProtection="1">
      <alignment horizontal="center" vertical="center"/>
    </xf>
    <xf numFmtId="4" fontId="17" fillId="0" borderId="0" xfId="0" applyNumberFormat="1" applyFont="1"/>
    <xf numFmtId="167" fontId="16" fillId="0" borderId="2" xfId="1" applyNumberFormat="1" applyFont="1" applyFill="1" applyBorder="1" applyAlignment="1" applyProtection="1"/>
    <xf numFmtId="167" fontId="16" fillId="8" borderId="2" xfId="1" applyNumberFormat="1" applyFont="1" applyFill="1" applyBorder="1" applyAlignment="1" applyProtection="1">
      <alignment horizontal="center" vertical="center"/>
    </xf>
    <xf numFmtId="10" fontId="17" fillId="9" borderId="2" xfId="2" applyNumberFormat="1" applyFont="1" applyFill="1" applyBorder="1" applyAlignment="1" applyProtection="1"/>
    <xf numFmtId="9" fontId="16" fillId="9" borderId="2" xfId="2" applyFont="1" applyFill="1" applyBorder="1" applyAlignment="1" applyProtection="1">
      <alignment horizontal="center"/>
    </xf>
    <xf numFmtId="167" fontId="16" fillId="10" borderId="2" xfId="1" applyNumberFormat="1" applyFont="1" applyFill="1" applyBorder="1" applyAlignment="1" applyProtection="1">
      <alignment horizontal="center" vertical="center"/>
    </xf>
    <xf numFmtId="167" fontId="16" fillId="11" borderId="2" xfId="1" applyNumberFormat="1" applyFont="1" applyFill="1" applyBorder="1" applyAlignment="1" applyProtection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70" fontId="10" fillId="0" borderId="1" xfId="1" applyNumberFormat="1" applyBorder="1" applyAlignment="1">
      <alignment horizontal="center" vertical="center"/>
    </xf>
    <xf numFmtId="170" fontId="10" fillId="4" borderId="1" xfId="1" applyNumberFormat="1" applyFill="1" applyBorder="1" applyAlignment="1">
      <alignment horizontal="center" vertical="center"/>
    </xf>
    <xf numFmtId="4" fontId="20" fillId="0" borderId="2" xfId="3" applyFont="1" applyBorder="1" applyAlignment="1">
      <alignment horizontal="left"/>
    </xf>
    <xf numFmtId="172" fontId="16" fillId="0" borderId="2" xfId="1" applyNumberFormat="1" applyFont="1" applyFill="1" applyBorder="1" applyAlignment="1" applyProtection="1">
      <alignment horizontal="center" vertical="center"/>
    </xf>
    <xf numFmtId="172" fontId="16" fillId="8" borderId="2" xfId="1" applyNumberFormat="1" applyFont="1" applyFill="1" applyBorder="1" applyAlignment="1" applyProtection="1">
      <alignment horizontal="center" vertical="center"/>
    </xf>
    <xf numFmtId="0" fontId="17" fillId="0" borderId="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3" fontId="4" fillId="0" borderId="16" xfId="0" applyNumberFormat="1" applyFont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0" fontId="4" fillId="0" borderId="2" xfId="0" applyFont="1" applyBorder="1"/>
    <xf numFmtId="167" fontId="4" fillId="0" borderId="2" xfId="1" applyNumberFormat="1" applyFont="1" applyBorder="1"/>
    <xf numFmtId="167" fontId="17" fillId="0" borderId="0" xfId="0" applyNumberFormat="1" applyFont="1"/>
    <xf numFmtId="0" fontId="17" fillId="10" borderId="2" xfId="0" applyFont="1" applyFill="1" applyBorder="1"/>
    <xf numFmtId="167" fontId="16" fillId="12" borderId="2" xfId="1" applyNumberFormat="1" applyFont="1" applyFill="1" applyBorder="1" applyAlignment="1" applyProtection="1">
      <alignment horizontal="center" vertical="center"/>
    </xf>
    <xf numFmtId="167" fontId="16" fillId="13" borderId="2" xfId="1" applyNumberFormat="1" applyFont="1" applyFill="1" applyBorder="1" applyAlignment="1" applyProtection="1">
      <alignment horizontal="center" vertical="center"/>
    </xf>
    <xf numFmtId="4" fontId="20" fillId="0" borderId="0" xfId="3" applyFont="1" applyBorder="1" applyAlignment="1">
      <alignment horizontal="left"/>
    </xf>
    <xf numFmtId="167" fontId="16" fillId="10" borderId="2" xfId="1" applyNumberFormat="1" applyFont="1" applyFill="1" applyBorder="1" applyAlignment="1" applyProtection="1"/>
    <xf numFmtId="4" fontId="17" fillId="0" borderId="2" xfId="0" applyNumberFormat="1" applyFont="1" applyBorder="1"/>
    <xf numFmtId="4" fontId="15" fillId="0" borderId="2" xfId="3" applyFont="1" applyBorder="1"/>
    <xf numFmtId="49" fontId="23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4" borderId="10" xfId="0" applyFont="1" applyFill="1" applyBorder="1"/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left" vertical="center"/>
    </xf>
    <xf numFmtId="164" fontId="5" fillId="3" borderId="2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4" borderId="15" xfId="0" applyFont="1" applyFill="1" applyBorder="1" applyAlignment="1">
      <alignment wrapText="1"/>
    </xf>
    <xf numFmtId="16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" fontId="14" fillId="0" borderId="2" xfId="3" applyFont="1" applyBorder="1" applyAlignment="1">
      <alignment horizontal="left"/>
    </xf>
    <xf numFmtId="3" fontId="16" fillId="9" borderId="2" xfId="0" applyNumberFormat="1" applyFont="1" applyFill="1" applyBorder="1" applyAlignment="1">
      <alignment horizontal="center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19" xfId="0" applyNumberFormat="1" applyFont="1" applyBorder="1" applyAlignment="1">
      <alignment horizontal="left" vertical="center" wrapText="1"/>
    </xf>
    <xf numFmtId="2" fontId="16" fillId="8" borderId="2" xfId="0" applyNumberFormat="1" applyFont="1" applyFill="1" applyBorder="1" applyAlignment="1">
      <alignment horizontal="center" wrapText="1"/>
    </xf>
    <xf numFmtId="167" fontId="16" fillId="0" borderId="17" xfId="1" applyNumberFormat="1" applyFont="1" applyFill="1" applyBorder="1" applyAlignment="1" applyProtection="1">
      <alignment horizontal="left" vertical="center"/>
    </xf>
    <xf numFmtId="167" fontId="16" fillId="0" borderId="18" xfId="1" applyNumberFormat="1" applyFont="1" applyFill="1" applyBorder="1" applyAlignment="1" applyProtection="1">
      <alignment horizontal="left" vertical="center"/>
    </xf>
    <xf numFmtId="2" fontId="16" fillId="0" borderId="2" xfId="0" applyNumberFormat="1" applyFont="1" applyFill="1" applyBorder="1" applyAlignment="1">
      <alignment horizontal="center" wrapText="1"/>
    </xf>
    <xf numFmtId="167" fontId="16" fillId="0" borderId="0" xfId="1" applyNumberFormat="1" applyFont="1" applyFill="1" applyBorder="1" applyAlignment="1" applyProtection="1">
      <alignment horizont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3" fontId="20" fillId="0" borderId="2" xfId="3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right" vertical="center"/>
    </xf>
  </cellXfs>
  <cellStyles count="8">
    <cellStyle name="Cantitate" xfId="7"/>
    <cellStyle name="Comma" xfId="1" builtinId="3"/>
    <cellStyle name="Normal" xfId="0" builtinId="0"/>
    <cellStyle name="Normal 2" xfId="4"/>
    <cellStyle name="Normal 3" xfId="5"/>
    <cellStyle name="Percent" xfId="2" builtinId="5"/>
    <cellStyle name="PretUnitar" xfId="6"/>
    <cellStyle name="Valoar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3PUTRE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 F1"/>
      <sheetName val="FORMULAR2"/>
      <sheetName val="TERASA1"/>
      <sheetName val="ALEE"/>
      <sheetName val="UTILAJ"/>
    </sheetNames>
    <sheetDataSet>
      <sheetData sheetId="0"/>
      <sheetData sheetId="1">
        <row r="12">
          <cell r="C12" t="str">
            <v xml:space="preserve">Categorie:  TERASAMENTEAMENAJARE TEREN DE SPORT SI ALEI </v>
          </cell>
          <cell r="D12">
            <v>16185.1116</v>
          </cell>
        </row>
        <row r="13">
          <cell r="C13" t="str">
            <v xml:space="preserve">Categorie:  AMENAJARE TEREN DE SPORT SI ALEI </v>
          </cell>
          <cell r="D13">
            <v>152963.52900000001</v>
          </cell>
        </row>
        <row r="14">
          <cell r="C14" t="str">
            <v>Categorie:  AMENAJARE IRIGATIE TEREN DE SPORT</v>
          </cell>
          <cell r="D14">
            <v>7916.4803266560002</v>
          </cell>
        </row>
        <row r="16">
          <cell r="C16" t="str">
            <v>Categorie: 04 Iluminat teren de sport</v>
          </cell>
          <cell r="D16">
            <v>13600</v>
          </cell>
        </row>
        <row r="18">
          <cell r="D18">
            <v>23420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F53" sqref="F53"/>
    </sheetView>
  </sheetViews>
  <sheetFormatPr defaultRowHeight="12.75" x14ac:dyDescent="0.2"/>
  <cols>
    <col min="1" max="1" width="6" style="17" customWidth="1"/>
    <col min="2" max="2" width="25.140625" style="49" customWidth="1"/>
    <col min="3" max="3" width="10.85546875" style="9" bestFit="1" customWidth="1"/>
    <col min="4" max="4" width="10.5703125" style="9" bestFit="1" customWidth="1"/>
    <col min="5" max="5" width="10.140625" style="9" bestFit="1" customWidth="1"/>
    <col min="6" max="6" width="15.5703125" style="9" bestFit="1" customWidth="1"/>
    <col min="7" max="7" width="11.140625" style="9" bestFit="1" customWidth="1"/>
    <col min="8" max="8" width="10.28515625" style="17" customWidth="1"/>
    <col min="9" max="9" width="8" style="17" bestFit="1" customWidth="1"/>
    <col min="10" max="10" width="7" style="17" bestFit="1" customWidth="1"/>
    <col min="11" max="11" width="9.28515625" style="17" bestFit="1" customWidth="1"/>
    <col min="12" max="13" width="9.140625" style="17"/>
    <col min="14" max="16" width="9.28515625" style="17" bestFit="1" customWidth="1"/>
    <col min="17" max="16384" width="9.140625" style="17"/>
  </cols>
  <sheetData>
    <row r="1" spans="1:7" x14ac:dyDescent="0.2">
      <c r="A1" s="118" t="s">
        <v>0</v>
      </c>
      <c r="B1" s="118"/>
      <c r="C1" s="118"/>
      <c r="D1" s="118"/>
      <c r="E1" s="118"/>
      <c r="F1" s="118"/>
      <c r="G1" s="118"/>
    </row>
    <row r="2" spans="1:7" x14ac:dyDescent="0.2">
      <c r="A2" s="119"/>
      <c r="B2" s="119"/>
      <c r="C2" s="119"/>
      <c r="D2" s="119"/>
      <c r="E2" s="119"/>
      <c r="F2" s="119"/>
      <c r="G2" s="119"/>
    </row>
    <row r="3" spans="1:7" x14ac:dyDescent="0.2">
      <c r="A3" s="124" t="s">
        <v>142</v>
      </c>
      <c r="B3" s="124"/>
      <c r="C3" s="124"/>
      <c r="D3" s="124"/>
      <c r="E3" s="124"/>
      <c r="F3" s="67">
        <v>4.4863999999999997</v>
      </c>
      <c r="G3" s="68" t="s">
        <v>7</v>
      </c>
    </row>
    <row r="4" spans="1:7" x14ac:dyDescent="0.2">
      <c r="A4" s="121" t="s">
        <v>1</v>
      </c>
      <c r="B4" s="121"/>
      <c r="C4" s="121"/>
      <c r="D4" s="121"/>
      <c r="E4" s="121"/>
      <c r="F4" s="121"/>
      <c r="G4" s="121"/>
    </row>
    <row r="5" spans="1:7" ht="18" customHeight="1" x14ac:dyDescent="0.2">
      <c r="A5" s="122" t="s">
        <v>2</v>
      </c>
      <c r="B5" s="122" t="s">
        <v>3</v>
      </c>
      <c r="C5" s="123" t="s">
        <v>4</v>
      </c>
      <c r="D5" s="123"/>
      <c r="E5" s="123" t="s">
        <v>5</v>
      </c>
      <c r="F5" s="122" t="s">
        <v>6</v>
      </c>
      <c r="G5" s="122"/>
    </row>
    <row r="6" spans="1:7" ht="12.75" customHeight="1" x14ac:dyDescent="0.2">
      <c r="A6" s="122"/>
      <c r="B6" s="122"/>
      <c r="C6" s="123"/>
      <c r="D6" s="123"/>
      <c r="E6" s="123"/>
      <c r="F6" s="122"/>
      <c r="G6" s="122"/>
    </row>
    <row r="7" spans="1:7" x14ac:dyDescent="0.2">
      <c r="A7" s="122"/>
      <c r="B7" s="122"/>
      <c r="C7" s="58" t="s">
        <v>128</v>
      </c>
      <c r="D7" s="58" t="s">
        <v>129</v>
      </c>
      <c r="E7" s="58" t="s">
        <v>128</v>
      </c>
      <c r="F7" s="58" t="s">
        <v>128</v>
      </c>
      <c r="G7" s="58" t="s">
        <v>129</v>
      </c>
    </row>
    <row r="8" spans="1:7" x14ac:dyDescent="0.2">
      <c r="A8" s="18">
        <v>1</v>
      </c>
      <c r="B8" s="53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7" ht="35.25" customHeight="1" x14ac:dyDescent="0.2">
      <c r="A9" s="120" t="s">
        <v>9</v>
      </c>
      <c r="B9" s="120"/>
      <c r="C9" s="120"/>
      <c r="D9" s="120"/>
      <c r="E9" s="120"/>
      <c r="F9" s="120"/>
      <c r="G9" s="120"/>
    </row>
    <row r="10" spans="1:7" ht="12.75" customHeight="1" x14ac:dyDescent="0.2">
      <c r="A10" s="19" t="s">
        <v>10</v>
      </c>
      <c r="B10" s="52" t="s">
        <v>11</v>
      </c>
      <c r="C10" s="54">
        <v>0</v>
      </c>
      <c r="D10" s="54">
        <f>C10/$F$3</f>
        <v>0</v>
      </c>
      <c r="E10" s="54">
        <v>0</v>
      </c>
      <c r="F10" s="54">
        <v>0</v>
      </c>
      <c r="G10" s="54">
        <v>0</v>
      </c>
    </row>
    <row r="11" spans="1:7" ht="24" customHeight="1" x14ac:dyDescent="0.2">
      <c r="A11" s="19" t="s">
        <v>12</v>
      </c>
      <c r="B11" s="52" t="s">
        <v>13</v>
      </c>
      <c r="C11" s="97">
        <v>0</v>
      </c>
      <c r="D11" s="97">
        <f>C11/$F$3</f>
        <v>0</v>
      </c>
      <c r="E11" s="97">
        <f>C11*0.19</f>
        <v>0</v>
      </c>
      <c r="F11" s="97">
        <f>C11+E11</f>
        <v>0</v>
      </c>
      <c r="G11" s="97">
        <f>F11/$F$3</f>
        <v>0</v>
      </c>
    </row>
    <row r="12" spans="1:7" ht="25.5" x14ac:dyDescent="0.2">
      <c r="A12" s="19" t="s">
        <v>14</v>
      </c>
      <c r="B12" s="52" t="s">
        <v>15</v>
      </c>
      <c r="C12" s="54">
        <v>0</v>
      </c>
      <c r="D12" s="54">
        <f>C12/$F$3</f>
        <v>0</v>
      </c>
      <c r="E12" s="97">
        <f>C12*0.19</f>
        <v>0</v>
      </c>
      <c r="F12" s="54">
        <v>0</v>
      </c>
      <c r="G12" s="54">
        <v>0</v>
      </c>
    </row>
    <row r="13" spans="1:7" x14ac:dyDescent="0.2">
      <c r="A13" s="125" t="s">
        <v>16</v>
      </c>
      <c r="B13" s="125"/>
      <c r="C13" s="98">
        <f>C12+C11+C10</f>
        <v>0</v>
      </c>
      <c r="D13" s="98">
        <f>D12+D11+D10</f>
        <v>0</v>
      </c>
      <c r="E13" s="98">
        <f>E12+E11+E10</f>
        <v>0</v>
      </c>
      <c r="F13" s="98">
        <f>F12+F11+F10</f>
        <v>0</v>
      </c>
      <c r="G13" s="98">
        <f>G12+G11+G10</f>
        <v>0</v>
      </c>
    </row>
    <row r="14" spans="1:7" ht="30" customHeight="1" x14ac:dyDescent="0.2">
      <c r="A14" s="120" t="s">
        <v>17</v>
      </c>
      <c r="B14" s="120"/>
      <c r="C14" s="120"/>
      <c r="D14" s="120"/>
      <c r="E14" s="120"/>
      <c r="F14" s="120"/>
      <c r="G14" s="120"/>
    </row>
    <row r="15" spans="1:7" x14ac:dyDescent="0.2">
      <c r="A15" s="125" t="s">
        <v>18</v>
      </c>
      <c r="B15" s="125"/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ht="29.25" customHeight="1" x14ac:dyDescent="0.2">
      <c r="A16" s="120" t="s">
        <v>19</v>
      </c>
      <c r="B16" s="120"/>
      <c r="C16" s="120"/>
      <c r="D16" s="120"/>
      <c r="E16" s="120"/>
      <c r="F16" s="120"/>
      <c r="G16" s="120"/>
    </row>
    <row r="17" spans="1:7" x14ac:dyDescent="0.2">
      <c r="A17" s="19" t="s">
        <v>20</v>
      </c>
      <c r="B17" s="52" t="s">
        <v>21</v>
      </c>
      <c r="C17" s="21">
        <f>'CAP3'!C5/1000</f>
        <v>1.6</v>
      </c>
      <c r="D17" s="21">
        <f t="shared" ref="D17:D22" si="0">C17/$F$3</f>
        <v>0.35663338088445085</v>
      </c>
      <c r="E17" s="21">
        <f>C17*0.19</f>
        <v>0.30400000000000005</v>
      </c>
      <c r="F17" s="21">
        <f t="shared" ref="F17:F22" si="1">C17+E17</f>
        <v>1.9040000000000001</v>
      </c>
      <c r="G17" s="21">
        <f t="shared" ref="G17:G22" si="2">F17/$F$3</f>
        <v>0.42439372325249647</v>
      </c>
    </row>
    <row r="18" spans="1:7" ht="25.5" x14ac:dyDescent="0.2">
      <c r="A18" s="19" t="s">
        <v>22</v>
      </c>
      <c r="B18" s="52" t="s">
        <v>23</v>
      </c>
      <c r="C18" s="21">
        <f>'CAP3'!C16/1000</f>
        <v>3.15</v>
      </c>
      <c r="D18" s="21">
        <f t="shared" si="0"/>
        <v>0.70212196861626253</v>
      </c>
      <c r="E18" s="21">
        <f t="shared" ref="E18:E22" si="3">C18*0.19</f>
        <v>0.59850000000000003</v>
      </c>
      <c r="F18" s="21">
        <f t="shared" si="1"/>
        <v>3.7484999999999999</v>
      </c>
      <c r="G18" s="21">
        <f t="shared" si="2"/>
        <v>0.83552514265335243</v>
      </c>
    </row>
    <row r="19" spans="1:7" x14ac:dyDescent="0.2">
      <c r="A19" s="19" t="s">
        <v>24</v>
      </c>
      <c r="B19" s="52" t="s">
        <v>25</v>
      </c>
      <c r="C19" s="21">
        <f>'CAP3'!C24/1000</f>
        <v>5.4301599999999999</v>
      </c>
      <c r="D19" s="21">
        <f t="shared" si="0"/>
        <v>1.2103601997146933</v>
      </c>
      <c r="E19" s="21">
        <f t="shared" si="3"/>
        <v>1.0317304</v>
      </c>
      <c r="F19" s="21">
        <f t="shared" si="1"/>
        <v>6.4618903999999997</v>
      </c>
      <c r="G19" s="21">
        <f t="shared" si="2"/>
        <v>1.4403286376604851</v>
      </c>
    </row>
    <row r="20" spans="1:7" ht="25.5" x14ac:dyDescent="0.2">
      <c r="A20" s="19" t="s">
        <v>26</v>
      </c>
      <c r="B20" s="52" t="s">
        <v>27</v>
      </c>
      <c r="C20" s="21">
        <f>'CAP3'!C34/1000</f>
        <v>0.7</v>
      </c>
      <c r="D20" s="21">
        <f t="shared" si="0"/>
        <v>0.15602710413694723</v>
      </c>
      <c r="E20" s="21">
        <f t="shared" si="3"/>
        <v>0.13299999999999998</v>
      </c>
      <c r="F20" s="21">
        <f t="shared" si="1"/>
        <v>0.83299999999999996</v>
      </c>
      <c r="G20" s="21">
        <f t="shared" si="2"/>
        <v>0.18567225392296718</v>
      </c>
    </row>
    <row r="21" spans="1:7" x14ac:dyDescent="0.2">
      <c r="A21" s="19" t="s">
        <v>28</v>
      </c>
      <c r="B21" s="52" t="s">
        <v>29</v>
      </c>
      <c r="C21" s="21">
        <f>'CAP3'!C40/1000</f>
        <v>0</v>
      </c>
      <c r="D21" s="21">
        <f t="shared" si="0"/>
        <v>0</v>
      </c>
      <c r="E21" s="21">
        <f t="shared" si="3"/>
        <v>0</v>
      </c>
      <c r="F21" s="21">
        <f t="shared" si="1"/>
        <v>0</v>
      </c>
      <c r="G21" s="21">
        <f t="shared" si="2"/>
        <v>0</v>
      </c>
    </row>
    <row r="22" spans="1:7" x14ac:dyDescent="0.2">
      <c r="A22" s="19" t="s">
        <v>30</v>
      </c>
      <c r="B22" s="52" t="s">
        <v>31</v>
      </c>
      <c r="C22" s="21">
        <f>'CAP3'!C47/1000</f>
        <v>2.8599768138998405</v>
      </c>
      <c r="D22" s="21">
        <f t="shared" si="0"/>
        <v>0.63747700024514997</v>
      </c>
      <c r="E22" s="21">
        <f t="shared" si="3"/>
        <v>0.54339559464096965</v>
      </c>
      <c r="F22" s="21">
        <f t="shared" si="1"/>
        <v>3.4033724085408101</v>
      </c>
      <c r="G22" s="21">
        <f t="shared" si="2"/>
        <v>0.75859763029172844</v>
      </c>
    </row>
    <row r="23" spans="1:7" x14ac:dyDescent="0.2">
      <c r="A23" s="125" t="s">
        <v>32</v>
      </c>
      <c r="B23" s="125"/>
      <c r="C23" s="56">
        <f>SUM(C17:C22)</f>
        <v>13.740136813899841</v>
      </c>
      <c r="D23" s="56">
        <f t="shared" ref="D23:G23" si="4">SUM(D17:D22)</f>
        <v>3.0626196535975039</v>
      </c>
      <c r="E23" s="56">
        <f t="shared" si="4"/>
        <v>2.6106259946409698</v>
      </c>
      <c r="F23" s="56">
        <f t="shared" si="4"/>
        <v>16.350762808540811</v>
      </c>
      <c r="G23" s="56">
        <f t="shared" si="4"/>
        <v>3.64451738778103</v>
      </c>
    </row>
    <row r="24" spans="1:7" ht="32.25" customHeight="1" x14ac:dyDescent="0.2">
      <c r="A24" s="120" t="s">
        <v>33</v>
      </c>
      <c r="B24" s="120"/>
      <c r="C24" s="120"/>
      <c r="D24" s="120"/>
      <c r="E24" s="120"/>
      <c r="F24" s="120"/>
      <c r="G24" s="120"/>
    </row>
    <row r="25" spans="1:7" x14ac:dyDescent="0.2">
      <c r="A25" s="19" t="s">
        <v>34</v>
      </c>
      <c r="B25" s="52" t="s">
        <v>35</v>
      </c>
      <c r="C25" s="21">
        <f>'CAP4'!C13/1000</f>
        <v>190.66512092665602</v>
      </c>
      <c r="D25" s="21">
        <f t="shared" ref="D25:D30" si="5">C25/$F$3</f>
        <v>42.498466683009994</v>
      </c>
      <c r="E25" s="21">
        <f>C25*0.19</f>
        <v>36.226372976064646</v>
      </c>
      <c r="F25" s="21">
        <f t="shared" ref="F25:F30" si="6">C25+E25</f>
        <v>226.89149390272067</v>
      </c>
      <c r="G25" s="21">
        <f>F25/$F$3</f>
        <v>50.573175352781895</v>
      </c>
    </row>
    <row r="26" spans="1:7" ht="12.75" customHeight="1" x14ac:dyDescent="0.2">
      <c r="A26" s="19" t="s">
        <v>36</v>
      </c>
      <c r="B26" s="52" t="s">
        <v>37</v>
      </c>
      <c r="C26" s="21">
        <v>0</v>
      </c>
      <c r="D26" s="21">
        <f t="shared" si="5"/>
        <v>0</v>
      </c>
      <c r="E26" s="21">
        <f t="shared" ref="E26:E30" si="7">C26*0.19</f>
        <v>0</v>
      </c>
      <c r="F26" s="21">
        <f t="shared" si="6"/>
        <v>0</v>
      </c>
      <c r="G26" s="21">
        <f>F26*$F$3</f>
        <v>0</v>
      </c>
    </row>
    <row r="27" spans="1:7" ht="34.5" customHeight="1" x14ac:dyDescent="0.2">
      <c r="A27" s="19" t="s">
        <v>38</v>
      </c>
      <c r="B27" s="52" t="s">
        <v>39</v>
      </c>
      <c r="C27" s="21">
        <v>0</v>
      </c>
      <c r="D27" s="21">
        <f t="shared" si="5"/>
        <v>0</v>
      </c>
      <c r="E27" s="21">
        <f t="shared" si="7"/>
        <v>0</v>
      </c>
      <c r="F27" s="21">
        <f t="shared" si="6"/>
        <v>0</v>
      </c>
      <c r="G27" s="21">
        <f>F27*$F$3</f>
        <v>0</v>
      </c>
    </row>
    <row r="28" spans="1:7" ht="27" customHeight="1" x14ac:dyDescent="0.2">
      <c r="A28" s="19" t="s">
        <v>40</v>
      </c>
      <c r="B28" s="52" t="s">
        <v>41</v>
      </c>
      <c r="C28" s="21">
        <v>0</v>
      </c>
      <c r="D28" s="21">
        <f t="shared" si="5"/>
        <v>0</v>
      </c>
      <c r="E28" s="21">
        <f t="shared" si="7"/>
        <v>0</v>
      </c>
      <c r="F28" s="21">
        <f t="shared" si="6"/>
        <v>0</v>
      </c>
      <c r="G28" s="21">
        <f>F28*$F$3</f>
        <v>0</v>
      </c>
    </row>
    <row r="29" spans="1:7" x14ac:dyDescent="0.2">
      <c r="A29" s="19" t="s">
        <v>42</v>
      </c>
      <c r="B29" s="52" t="s">
        <v>43</v>
      </c>
      <c r="C29" s="21">
        <f>'CAP4'!C20/1000</f>
        <v>23.42</v>
      </c>
      <c r="D29" s="21">
        <f t="shared" si="5"/>
        <v>5.2202211126961489</v>
      </c>
      <c r="E29" s="21">
        <f t="shared" si="7"/>
        <v>4.4498000000000006</v>
      </c>
      <c r="F29" s="21">
        <f t="shared" si="6"/>
        <v>27.869800000000001</v>
      </c>
      <c r="G29" s="21">
        <f>F29*$F$3</f>
        <v>125.03507071999999</v>
      </c>
    </row>
    <row r="30" spans="1:7" ht="12.75" customHeight="1" x14ac:dyDescent="0.2">
      <c r="A30" s="19" t="s">
        <v>44</v>
      </c>
      <c r="B30" s="52" t="s">
        <v>45</v>
      </c>
      <c r="C30" s="21">
        <v>0</v>
      </c>
      <c r="D30" s="21">
        <f t="shared" si="5"/>
        <v>0</v>
      </c>
      <c r="E30" s="21">
        <f t="shared" si="7"/>
        <v>0</v>
      </c>
      <c r="F30" s="21">
        <f t="shared" si="6"/>
        <v>0</v>
      </c>
      <c r="G30" s="21">
        <f>F30*$F$3</f>
        <v>0</v>
      </c>
    </row>
    <row r="31" spans="1:7" x14ac:dyDescent="0.2">
      <c r="A31" s="125" t="s">
        <v>46</v>
      </c>
      <c r="B31" s="125"/>
      <c r="C31" s="56">
        <f>C25+C26+C27+C28+C29+C30</f>
        <v>214.08512092665603</v>
      </c>
      <c r="D31" s="56">
        <f>D25+D26+D27+D28+D29+D30</f>
        <v>47.718687795706145</v>
      </c>
      <c r="E31" s="56">
        <f>E25+E26+E27+E28+E29+E30</f>
        <v>40.676172976064649</v>
      </c>
      <c r="F31" s="56">
        <f>F25+F26+F27+F28+F29+F30</f>
        <v>254.76129390272067</v>
      </c>
      <c r="G31" s="56">
        <f>G25+G26+G27+G28+G29+G30</f>
        <v>175.6082460727819</v>
      </c>
    </row>
    <row r="32" spans="1:7" ht="24.75" customHeight="1" x14ac:dyDescent="0.2">
      <c r="A32" s="120" t="s">
        <v>47</v>
      </c>
      <c r="B32" s="120"/>
      <c r="C32" s="120"/>
      <c r="D32" s="120"/>
      <c r="E32" s="120"/>
      <c r="F32" s="120"/>
      <c r="G32" s="120"/>
    </row>
    <row r="33" spans="1:14" ht="12.75" customHeight="1" x14ac:dyDescent="0.2">
      <c r="A33" s="19" t="s">
        <v>48</v>
      </c>
      <c r="B33" s="52" t="s">
        <v>49</v>
      </c>
      <c r="C33" s="21">
        <f>'CAP5'!E6/1000</f>
        <v>0</v>
      </c>
      <c r="D33" s="21">
        <f>C33/$F$3</f>
        <v>0</v>
      </c>
      <c r="E33" s="21">
        <f>C33*0.19</f>
        <v>0</v>
      </c>
      <c r="F33" s="21">
        <f>C33+E33</f>
        <v>0</v>
      </c>
      <c r="G33" s="21">
        <f>F33/$F$3</f>
        <v>0</v>
      </c>
    </row>
    <row r="34" spans="1:14" ht="12.75" customHeight="1" x14ac:dyDescent="0.2">
      <c r="A34" s="19" t="s">
        <v>50</v>
      </c>
      <c r="B34" s="52" t="s">
        <v>51</v>
      </c>
      <c r="C34" s="21">
        <f>'CAP5'!E4/1000</f>
        <v>0</v>
      </c>
      <c r="D34" s="21">
        <f>C34/$F$3</f>
        <v>0</v>
      </c>
      <c r="E34" s="21">
        <f t="shared" ref="E34:E37" si="8">C34*0.19</f>
        <v>0</v>
      </c>
      <c r="F34" s="21">
        <f>C34+E34</f>
        <v>0</v>
      </c>
      <c r="G34" s="21">
        <f>F34/$F$3</f>
        <v>0</v>
      </c>
    </row>
    <row r="35" spans="1:14" ht="30.75" customHeight="1" x14ac:dyDescent="0.2">
      <c r="A35" s="19" t="s">
        <v>52</v>
      </c>
      <c r="B35" s="52" t="s">
        <v>53</v>
      </c>
      <c r="C35" s="21">
        <f>'CAP5'!E5</f>
        <v>0</v>
      </c>
      <c r="D35" s="21">
        <f>C35/$F$3</f>
        <v>0</v>
      </c>
      <c r="E35" s="21">
        <f t="shared" si="8"/>
        <v>0</v>
      </c>
      <c r="F35" s="21">
        <f>C35+E35</f>
        <v>0</v>
      </c>
      <c r="G35" s="21">
        <f>F35/$F$3</f>
        <v>0</v>
      </c>
    </row>
    <row r="36" spans="1:14" ht="25.5" x14ac:dyDescent="0.2">
      <c r="A36" s="19" t="s">
        <v>54</v>
      </c>
      <c r="B36" s="52" t="s">
        <v>55</v>
      </c>
      <c r="C36" s="21">
        <f>'CAP5'!E13/1000</f>
        <v>2.0973163301932161</v>
      </c>
      <c r="D36" s="21">
        <f>C36/$F$3</f>
        <v>0.46748313351310988</v>
      </c>
      <c r="E36" s="21">
        <v>0</v>
      </c>
      <c r="F36" s="21">
        <f>C36+E36</f>
        <v>2.0973163301932161</v>
      </c>
      <c r="G36" s="21">
        <f>F36/$F$3</f>
        <v>0.46748313351310988</v>
      </c>
    </row>
    <row r="37" spans="1:14" x14ac:dyDescent="0.2">
      <c r="A37" s="19" t="s">
        <v>56</v>
      </c>
      <c r="B37" s="52" t="s">
        <v>57</v>
      </c>
      <c r="C37" s="22">
        <f>'CAP5'!E18/1000</f>
        <v>4.5565051548111182</v>
      </c>
      <c r="D37" s="21">
        <f>C37/$F$3</f>
        <v>1.0156261489860732</v>
      </c>
      <c r="E37" s="21">
        <f t="shared" si="8"/>
        <v>0.86573597941411251</v>
      </c>
      <c r="F37" s="21">
        <f>C37+E37</f>
        <v>5.4222411342252306</v>
      </c>
      <c r="G37" s="21">
        <f>F37/$F$3</f>
        <v>1.2085951172934271</v>
      </c>
    </row>
    <row r="38" spans="1:14" x14ac:dyDescent="0.2">
      <c r="A38" s="125" t="s">
        <v>58</v>
      </c>
      <c r="B38" s="125"/>
      <c r="C38" s="56">
        <f>C33+C36+C37</f>
        <v>6.6538214850043342</v>
      </c>
      <c r="D38" s="56">
        <f>D33+D36+D37</f>
        <v>1.4831092824991829</v>
      </c>
      <c r="E38" s="56">
        <f>E33+E36+E37</f>
        <v>0.86573597941411251</v>
      </c>
      <c r="F38" s="56">
        <f>F33+F36+F37</f>
        <v>7.5195574644184466</v>
      </c>
      <c r="G38" s="56">
        <f>G33+G36+G37</f>
        <v>1.6760782508065368</v>
      </c>
    </row>
    <row r="39" spans="1:14" ht="28.5" customHeight="1" x14ac:dyDescent="0.2">
      <c r="A39" s="120" t="s">
        <v>59</v>
      </c>
      <c r="B39" s="120"/>
      <c r="C39" s="120"/>
      <c r="D39" s="120"/>
      <c r="E39" s="120"/>
      <c r="F39" s="120"/>
      <c r="G39" s="120"/>
    </row>
    <row r="40" spans="1:14" ht="25.5" x14ac:dyDescent="0.2">
      <c r="A40" s="19" t="s">
        <v>60</v>
      </c>
      <c r="B40" s="52" t="s">
        <v>61</v>
      </c>
      <c r="C40" s="21">
        <f>'CAP6'!C7/1000</f>
        <v>0</v>
      </c>
      <c r="D40" s="21">
        <f>C40/$F$3</f>
        <v>0</v>
      </c>
      <c r="E40" s="21">
        <f>C40*0.19</f>
        <v>0</v>
      </c>
      <c r="F40" s="21">
        <f>C40+E40</f>
        <v>0</v>
      </c>
      <c r="G40" s="21">
        <f>F40/$F$3</f>
        <v>0</v>
      </c>
    </row>
    <row r="41" spans="1:14" x14ac:dyDescent="0.2">
      <c r="A41" s="19" t="s">
        <v>62</v>
      </c>
      <c r="B41" s="52" t="s">
        <v>63</v>
      </c>
      <c r="C41" s="21">
        <f>'CAP6'!C8/1000</f>
        <v>0</v>
      </c>
      <c r="D41" s="21">
        <f>C41/$F$3</f>
        <v>0</v>
      </c>
      <c r="E41" s="21">
        <f>C41*0.19</f>
        <v>0</v>
      </c>
      <c r="F41" s="21">
        <f>C41+E41</f>
        <v>0</v>
      </c>
      <c r="G41" s="21">
        <f>F41/$F$3</f>
        <v>0</v>
      </c>
    </row>
    <row r="42" spans="1:14" x14ac:dyDescent="0.2">
      <c r="A42" s="125" t="s">
        <v>64</v>
      </c>
      <c r="B42" s="125"/>
      <c r="C42" s="56">
        <f>SUM(C40:C41)</f>
        <v>0</v>
      </c>
      <c r="D42" s="56">
        <f>SUM(D40:D41)</f>
        <v>0</v>
      </c>
      <c r="E42" s="56">
        <f>SUM(E40:E41)</f>
        <v>0</v>
      </c>
      <c r="F42" s="56">
        <f>SUM(F40:F41)</f>
        <v>0</v>
      </c>
      <c r="G42" s="56">
        <f>SUM(G40:G41)</f>
        <v>0</v>
      </c>
    </row>
    <row r="43" spans="1:14" x14ac:dyDescent="0.2">
      <c r="A43" s="126" t="s">
        <v>65</v>
      </c>
      <c r="B43" s="126"/>
      <c r="C43" s="57">
        <f>C13+C15+C23+C31+C38+C42</f>
        <v>234.47907922556021</v>
      </c>
      <c r="D43" s="57">
        <f>D13+D15+D23+D31+D38+D42</f>
        <v>52.264416731802832</v>
      </c>
      <c r="E43" s="57">
        <f>E13+E15+E23+E31+E38+E42</f>
        <v>44.15253495011973</v>
      </c>
      <c r="F43" s="57">
        <f>F13+F15+F23+F31+F38+F42</f>
        <v>278.63161417567989</v>
      </c>
      <c r="G43" s="57">
        <f>G13+G15+G23+G31+G38+G42</f>
        <v>180.92884171136947</v>
      </c>
      <c r="I43" s="23"/>
      <c r="J43" s="23"/>
    </row>
    <row r="44" spans="1:14" x14ac:dyDescent="0.2">
      <c r="A44" s="127" t="s">
        <v>66</v>
      </c>
      <c r="B44" s="127"/>
      <c r="C44" s="56">
        <f>C11+C12+C15+C25+C34</f>
        <v>190.66512092665602</v>
      </c>
      <c r="D44" s="56">
        <f>D11+D12+D15+D25+D34</f>
        <v>42.498466683009994</v>
      </c>
      <c r="E44" s="56">
        <f>E11+E12+E15+E25+E34</f>
        <v>36.226372976064646</v>
      </c>
      <c r="F44" s="56">
        <f>F11+F12+F15+F25+F34</f>
        <v>226.89149390272067</v>
      </c>
      <c r="G44" s="56">
        <f>G11+G12+G15+G25+G34</f>
        <v>50.573175352781895</v>
      </c>
      <c r="N44" s="64"/>
    </row>
    <row r="47" spans="1:14" x14ac:dyDescent="0.2">
      <c r="F47" s="47"/>
      <c r="G47" s="48"/>
    </row>
    <row r="49" spans="4:6" x14ac:dyDescent="0.2">
      <c r="D49" s="96"/>
      <c r="E49" s="96"/>
    </row>
    <row r="51" spans="4:6" x14ac:dyDescent="0.2">
      <c r="F51" s="96">
        <f>C25+C11</f>
        <v>190.66512092665602</v>
      </c>
    </row>
  </sheetData>
  <mergeCells count="23">
    <mergeCell ref="A42:B42"/>
    <mergeCell ref="A43:B43"/>
    <mergeCell ref="A44:B44"/>
    <mergeCell ref="A38:B38"/>
    <mergeCell ref="A39:G39"/>
    <mergeCell ref="A31:B31"/>
    <mergeCell ref="A32:G32"/>
    <mergeCell ref="A24:G24"/>
    <mergeCell ref="A13:B13"/>
    <mergeCell ref="A15:B15"/>
    <mergeCell ref="A16:G16"/>
    <mergeCell ref="A23:B23"/>
    <mergeCell ref="A1:G1"/>
    <mergeCell ref="A2:G2"/>
    <mergeCell ref="A14:G14"/>
    <mergeCell ref="A9:G9"/>
    <mergeCell ref="A4:G4"/>
    <mergeCell ref="A5:A7"/>
    <mergeCell ref="B5:B7"/>
    <mergeCell ref="C5:D6"/>
    <mergeCell ref="E5:E6"/>
    <mergeCell ref="F5:G6"/>
    <mergeCell ref="A3:E3"/>
  </mergeCells>
  <phoneticPr fontId="0" type="noConversion"/>
  <pageMargins left="0.7597222222222223" right="0.45" top="0.39374999999999999" bottom="0.39374999999999999" header="0.51180555555555562" footer="0.51180555555555562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"/>
  <sheetViews>
    <sheetView workbookViewId="0">
      <selection activeCell="D59" sqref="D59"/>
    </sheetView>
  </sheetViews>
  <sheetFormatPr defaultRowHeight="12.75" x14ac:dyDescent="0.2"/>
  <cols>
    <col min="1" max="1" width="6" style="1" customWidth="1"/>
    <col min="2" max="2" width="32.140625" style="1" bestFit="1" customWidth="1"/>
    <col min="3" max="3" width="12.7109375" style="1" bestFit="1" customWidth="1"/>
    <col min="4" max="16384" width="9.140625" style="1"/>
  </cols>
  <sheetData>
    <row r="1" spans="1:3" x14ac:dyDescent="0.2">
      <c r="A1" s="129" t="s">
        <v>68</v>
      </c>
      <c r="B1" s="129"/>
      <c r="C1" s="129"/>
    </row>
    <row r="2" spans="1:3" ht="25.5" x14ac:dyDescent="0.2">
      <c r="A2" s="4" t="s">
        <v>67</v>
      </c>
      <c r="B2" s="2" t="s">
        <v>69</v>
      </c>
      <c r="C2" s="5" t="s">
        <v>70</v>
      </c>
    </row>
    <row r="3" spans="1:3" x14ac:dyDescent="0.2">
      <c r="A3" s="2">
        <v>1</v>
      </c>
      <c r="B3" s="2">
        <v>2</v>
      </c>
      <c r="C3" s="2">
        <v>3</v>
      </c>
    </row>
    <row r="4" spans="1:3" x14ac:dyDescent="0.2">
      <c r="A4" s="6">
        <v>1</v>
      </c>
      <c r="B4" s="20" t="s">
        <v>143</v>
      </c>
      <c r="C4" s="10">
        <v>1600</v>
      </c>
    </row>
    <row r="5" spans="1:3" x14ac:dyDescent="0.2">
      <c r="A5" s="128" t="s">
        <v>71</v>
      </c>
      <c r="B5" s="128"/>
      <c r="C5" s="61">
        <f>SUM(C4:C4)</f>
        <v>1600</v>
      </c>
    </row>
    <row r="6" spans="1:3" x14ac:dyDescent="0.2">
      <c r="A6" s="129" t="s">
        <v>72</v>
      </c>
      <c r="B6" s="129"/>
      <c r="C6" s="129"/>
    </row>
    <row r="7" spans="1:3" ht="25.5" x14ac:dyDescent="0.2">
      <c r="A7" s="4" t="s">
        <v>67</v>
      </c>
      <c r="B7" s="2" t="s">
        <v>73</v>
      </c>
      <c r="C7" s="5" t="s">
        <v>70</v>
      </c>
    </row>
    <row r="8" spans="1:3" x14ac:dyDescent="0.2">
      <c r="A8" s="2">
        <v>1</v>
      </c>
      <c r="B8" s="2">
        <v>2</v>
      </c>
      <c r="C8" s="2">
        <v>3</v>
      </c>
    </row>
    <row r="9" spans="1:3" x14ac:dyDescent="0.2">
      <c r="A9" s="6">
        <v>1</v>
      </c>
      <c r="B9" s="20" t="s">
        <v>74</v>
      </c>
      <c r="C9" s="10">
        <v>0</v>
      </c>
    </row>
    <row r="10" spans="1:3" x14ac:dyDescent="0.2">
      <c r="A10" s="6">
        <v>2</v>
      </c>
      <c r="B10" s="20" t="s">
        <v>75</v>
      </c>
      <c r="C10" s="10">
        <v>0</v>
      </c>
    </row>
    <row r="11" spans="1:3" x14ac:dyDescent="0.2">
      <c r="A11" s="6">
        <v>3</v>
      </c>
      <c r="B11" s="20" t="s">
        <v>76</v>
      </c>
      <c r="C11" s="10">
        <v>150</v>
      </c>
    </row>
    <row r="12" spans="1:3" x14ac:dyDescent="0.2">
      <c r="A12" s="6">
        <v>4</v>
      </c>
      <c r="B12" s="20" t="s">
        <v>77</v>
      </c>
      <c r="C12" s="10">
        <v>0</v>
      </c>
    </row>
    <row r="13" spans="1:3" x14ac:dyDescent="0.2">
      <c r="A13" s="6">
        <v>5</v>
      </c>
      <c r="B13" s="20" t="s">
        <v>78</v>
      </c>
      <c r="C13" s="10">
        <v>500</v>
      </c>
    </row>
    <row r="14" spans="1:3" x14ac:dyDescent="0.2">
      <c r="A14" s="6">
        <v>6</v>
      </c>
      <c r="B14" s="20" t="s">
        <v>79</v>
      </c>
      <c r="C14" s="10">
        <v>1500</v>
      </c>
    </row>
    <row r="15" spans="1:3" x14ac:dyDescent="0.2">
      <c r="A15" s="6">
        <v>7</v>
      </c>
      <c r="B15" s="20" t="s">
        <v>80</v>
      </c>
      <c r="C15" s="10">
        <v>1000</v>
      </c>
    </row>
    <row r="16" spans="1:3" x14ac:dyDescent="0.2">
      <c r="A16" s="128" t="s">
        <v>71</v>
      </c>
      <c r="B16" s="128"/>
      <c r="C16" s="61">
        <f>SUM(C9:C15)</f>
        <v>3150</v>
      </c>
    </row>
    <row r="17" spans="1:6" x14ac:dyDescent="0.2">
      <c r="A17" s="129" t="s">
        <v>81</v>
      </c>
      <c r="B17" s="129"/>
      <c r="C17" s="129"/>
      <c r="D17" s="12"/>
    </row>
    <row r="18" spans="1:6" ht="25.5" x14ac:dyDescent="0.2">
      <c r="A18" s="4" t="s">
        <v>67</v>
      </c>
      <c r="B18" s="2" t="s">
        <v>69</v>
      </c>
      <c r="C18" s="5" t="s">
        <v>70</v>
      </c>
      <c r="D18" s="12"/>
    </row>
    <row r="19" spans="1:6" x14ac:dyDescent="0.2">
      <c r="A19" s="2">
        <v>1</v>
      </c>
      <c r="B19" s="2">
        <v>2</v>
      </c>
      <c r="C19" s="2">
        <v>3</v>
      </c>
      <c r="D19" s="12"/>
    </row>
    <row r="20" spans="1:6" x14ac:dyDescent="0.2">
      <c r="A20" s="6">
        <v>1</v>
      </c>
      <c r="B20" s="20" t="s">
        <v>82</v>
      </c>
      <c r="C20" s="24">
        <v>1200</v>
      </c>
      <c r="D20" s="12"/>
    </row>
    <row r="21" spans="1:6" x14ac:dyDescent="0.2">
      <c r="A21" s="6">
        <v>2</v>
      </c>
      <c r="B21" s="20" t="s">
        <v>83</v>
      </c>
      <c r="C21" s="24">
        <v>500</v>
      </c>
      <c r="D21" s="12"/>
    </row>
    <row r="22" spans="1:6" x14ac:dyDescent="0.2">
      <c r="A22" s="6">
        <v>3</v>
      </c>
      <c r="B22" s="20" t="s">
        <v>130</v>
      </c>
      <c r="C22" s="24">
        <v>3572</v>
      </c>
      <c r="D22" s="12"/>
    </row>
    <row r="23" spans="1:6" x14ac:dyDescent="0.2">
      <c r="A23" s="6">
        <v>5</v>
      </c>
      <c r="B23" s="11" t="s">
        <v>93</v>
      </c>
      <c r="C23" s="24">
        <f>(C22+C21+C20)*0.03</f>
        <v>158.16</v>
      </c>
      <c r="D23" s="12"/>
    </row>
    <row r="24" spans="1:6" x14ac:dyDescent="0.2">
      <c r="A24" s="128" t="s">
        <v>71</v>
      </c>
      <c r="B24" s="128"/>
      <c r="C24" s="61">
        <f>SUM(C20:C23)</f>
        <v>5430.16</v>
      </c>
      <c r="D24" s="12"/>
      <c r="E24" s="69"/>
      <c r="F24" s="1">
        <f>'Deviz General'!C44*0.03*1000</f>
        <v>5719.9536277996804</v>
      </c>
    </row>
    <row r="25" spans="1:6" x14ac:dyDescent="0.2">
      <c r="A25" s="129" t="s">
        <v>84</v>
      </c>
      <c r="B25" s="129"/>
      <c r="C25" s="129"/>
      <c r="D25" s="12"/>
    </row>
    <row r="26" spans="1:6" x14ac:dyDescent="0.2">
      <c r="A26" s="130" t="s">
        <v>85</v>
      </c>
      <c r="B26" s="130"/>
      <c r="C26" s="130"/>
      <c r="D26" s="12"/>
    </row>
    <row r="27" spans="1:6" ht="25.5" x14ac:dyDescent="0.2">
      <c r="A27" s="4" t="s">
        <v>67</v>
      </c>
      <c r="B27" s="2" t="s">
        <v>69</v>
      </c>
      <c r="C27" s="5" t="s">
        <v>70</v>
      </c>
      <c r="D27" s="12"/>
    </row>
    <row r="28" spans="1:6" x14ac:dyDescent="0.2">
      <c r="A28" s="2">
        <v>1</v>
      </c>
      <c r="B28" s="2">
        <v>2</v>
      </c>
      <c r="C28" s="2">
        <v>3</v>
      </c>
      <c r="D28" s="12"/>
    </row>
    <row r="29" spans="1:6" x14ac:dyDescent="0.2">
      <c r="A29" s="6">
        <v>1</v>
      </c>
      <c r="B29" s="20" t="s">
        <v>86</v>
      </c>
      <c r="C29" s="10">
        <v>0</v>
      </c>
      <c r="D29" s="12"/>
    </row>
    <row r="30" spans="1:6" x14ac:dyDescent="0.2">
      <c r="A30" s="6">
        <v>2</v>
      </c>
      <c r="B30" s="20" t="s">
        <v>87</v>
      </c>
      <c r="C30" s="10">
        <v>0</v>
      </c>
      <c r="D30" s="12"/>
    </row>
    <row r="31" spans="1:6" x14ac:dyDescent="0.2">
      <c r="A31" s="6">
        <v>3</v>
      </c>
      <c r="B31" s="20" t="s">
        <v>88</v>
      </c>
      <c r="C31" s="10">
        <v>0</v>
      </c>
      <c r="D31" s="12"/>
    </row>
    <row r="32" spans="1:6" x14ac:dyDescent="0.2">
      <c r="A32" s="6">
        <v>4</v>
      </c>
      <c r="B32" s="20" t="s">
        <v>89</v>
      </c>
      <c r="C32" s="10">
        <v>0</v>
      </c>
      <c r="D32" s="12"/>
    </row>
    <row r="33" spans="1:4" x14ac:dyDescent="0.2">
      <c r="A33" s="6">
        <v>5</v>
      </c>
      <c r="B33" s="20" t="s">
        <v>90</v>
      </c>
      <c r="C33" s="10">
        <v>700</v>
      </c>
      <c r="D33" s="12"/>
    </row>
    <row r="34" spans="1:4" x14ac:dyDescent="0.2">
      <c r="A34" s="128" t="s">
        <v>71</v>
      </c>
      <c r="B34" s="128"/>
      <c r="C34" s="61">
        <f>SUM(C29:C33)</f>
        <v>700</v>
      </c>
      <c r="D34" s="12"/>
    </row>
    <row r="35" spans="1:4" x14ac:dyDescent="0.2">
      <c r="A35" s="129" t="s">
        <v>91</v>
      </c>
      <c r="B35" s="129"/>
      <c r="C35" s="129"/>
      <c r="D35" s="12"/>
    </row>
    <row r="36" spans="1:4" ht="25.5" x14ac:dyDescent="0.2">
      <c r="A36" s="4" t="s">
        <v>67</v>
      </c>
      <c r="B36" s="2" t="s">
        <v>69</v>
      </c>
      <c r="C36" s="5" t="s">
        <v>70</v>
      </c>
      <c r="D36" s="12"/>
    </row>
    <row r="37" spans="1:4" x14ac:dyDescent="0.2">
      <c r="A37" s="2">
        <v>1</v>
      </c>
      <c r="B37" s="2">
        <v>2</v>
      </c>
      <c r="C37" s="2">
        <v>3</v>
      </c>
      <c r="D37" s="12"/>
    </row>
    <row r="38" spans="1:4" x14ac:dyDescent="0.2">
      <c r="A38" s="103">
        <v>1</v>
      </c>
      <c r="B38" s="104" t="s">
        <v>29</v>
      </c>
      <c r="C38" s="105">
        <v>0</v>
      </c>
      <c r="D38" s="12"/>
    </row>
    <row r="39" spans="1:4" x14ac:dyDescent="0.2">
      <c r="A39" s="107">
        <v>2</v>
      </c>
      <c r="B39" s="107" t="s">
        <v>140</v>
      </c>
      <c r="C39" s="108">
        <v>0</v>
      </c>
      <c r="D39" s="12"/>
    </row>
    <row r="40" spans="1:4" x14ac:dyDescent="0.2">
      <c r="A40" s="131" t="s">
        <v>71</v>
      </c>
      <c r="B40" s="131"/>
      <c r="C40" s="106">
        <f>SUM(C38:C39)</f>
        <v>0</v>
      </c>
      <c r="D40" s="12"/>
    </row>
    <row r="41" spans="1:4" x14ac:dyDescent="0.2">
      <c r="A41" s="129" t="s">
        <v>92</v>
      </c>
      <c r="B41" s="129"/>
      <c r="C41" s="129"/>
      <c r="D41" s="12"/>
    </row>
    <row r="42" spans="1:4" x14ac:dyDescent="0.2">
      <c r="A42" s="130" t="s">
        <v>85</v>
      </c>
      <c r="B42" s="130"/>
      <c r="C42" s="130"/>
      <c r="D42" s="12"/>
    </row>
    <row r="43" spans="1:4" ht="25.5" x14ac:dyDescent="0.2">
      <c r="A43" s="4" t="s">
        <v>67</v>
      </c>
      <c r="B43" s="2" t="s">
        <v>69</v>
      </c>
      <c r="C43" s="5" t="s">
        <v>70</v>
      </c>
      <c r="D43" s="12"/>
    </row>
    <row r="44" spans="1:4" x14ac:dyDescent="0.2">
      <c r="A44" s="2">
        <v>1</v>
      </c>
      <c r="B44" s="2">
        <v>2</v>
      </c>
      <c r="C44" s="2">
        <v>3</v>
      </c>
      <c r="D44" s="12"/>
    </row>
    <row r="45" spans="1:4" x14ac:dyDescent="0.2">
      <c r="A45" s="6">
        <v>1</v>
      </c>
      <c r="B45" s="20" t="s">
        <v>94</v>
      </c>
      <c r="C45" s="25">
        <f>'Deviz General'!C44*0.005*1000</f>
        <v>953.32560463328014</v>
      </c>
      <c r="D45" s="12"/>
    </row>
    <row r="46" spans="1:4" x14ac:dyDescent="0.2">
      <c r="A46" s="2">
        <v>2</v>
      </c>
      <c r="B46" s="20" t="s">
        <v>95</v>
      </c>
      <c r="C46" s="25">
        <f>'Deviz General'!C44*0.01*1000</f>
        <v>1906.6512092665603</v>
      </c>
      <c r="D46" s="12"/>
    </row>
    <row r="47" spans="1:4" x14ac:dyDescent="0.2">
      <c r="A47" s="128" t="s">
        <v>71</v>
      </c>
      <c r="B47" s="128"/>
      <c r="C47" s="62">
        <f>SUM(C45:C46)</f>
        <v>2859.9768138998406</v>
      </c>
      <c r="D47" s="12"/>
    </row>
    <row r="48" spans="1:4" ht="15.75" x14ac:dyDescent="0.25">
      <c r="A48" s="7"/>
      <c r="B48" s="7"/>
      <c r="C48" s="7"/>
    </row>
    <row r="49" spans="1:3" ht="15.75" x14ac:dyDescent="0.25">
      <c r="A49" s="7"/>
      <c r="B49" s="7"/>
      <c r="C49" s="8"/>
    </row>
  </sheetData>
  <mergeCells count="14">
    <mergeCell ref="A25:C25"/>
    <mergeCell ref="A26:C26"/>
    <mergeCell ref="A42:C42"/>
    <mergeCell ref="A47:B47"/>
    <mergeCell ref="A34:B34"/>
    <mergeCell ref="A35:C35"/>
    <mergeCell ref="A40:B40"/>
    <mergeCell ref="A41:C41"/>
    <mergeCell ref="A24:B24"/>
    <mergeCell ref="A1:C1"/>
    <mergeCell ref="A5:B5"/>
    <mergeCell ref="A6:C6"/>
    <mergeCell ref="A16:B16"/>
    <mergeCell ref="A17:C17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zoomScale="115" zoomScaleNormal="115" workbookViewId="0">
      <selection activeCell="B40" sqref="B40"/>
    </sheetView>
  </sheetViews>
  <sheetFormatPr defaultRowHeight="12.75" x14ac:dyDescent="0.2"/>
  <cols>
    <col min="1" max="1" width="6" style="12" bestFit="1" customWidth="1"/>
    <col min="2" max="2" width="41.42578125" style="12" bestFit="1" customWidth="1"/>
    <col min="3" max="3" width="9.7109375" style="9" bestFit="1" customWidth="1"/>
    <col min="4" max="7" width="9.5703125" style="9" bestFit="1" customWidth="1"/>
    <col min="8" max="11" width="9.140625" style="1"/>
    <col min="12" max="12" width="15.42578125" style="1" bestFit="1" customWidth="1"/>
    <col min="13" max="16384" width="9.140625" style="1"/>
  </cols>
  <sheetData>
    <row r="2" spans="1:12" x14ac:dyDescent="0.2">
      <c r="A2" s="133" t="s">
        <v>96</v>
      </c>
      <c r="B2" s="133"/>
      <c r="C2" s="133"/>
      <c r="D2" s="133"/>
      <c r="E2" s="133"/>
      <c r="F2" s="133"/>
      <c r="G2" s="133"/>
    </row>
    <row r="3" spans="1:12" x14ac:dyDescent="0.2">
      <c r="A3" s="134" t="s">
        <v>2</v>
      </c>
      <c r="B3" s="134" t="s">
        <v>3</v>
      </c>
      <c r="C3" s="120" t="s">
        <v>4</v>
      </c>
      <c r="D3" s="120"/>
      <c r="E3" s="120" t="s">
        <v>5</v>
      </c>
      <c r="F3" s="134" t="s">
        <v>97</v>
      </c>
      <c r="G3" s="134"/>
    </row>
    <row r="4" spans="1:12" ht="19.5" customHeight="1" x14ac:dyDescent="0.2">
      <c r="A4" s="134"/>
      <c r="B4" s="134"/>
      <c r="C4" s="120"/>
      <c r="D4" s="120"/>
      <c r="E4" s="120"/>
      <c r="F4" s="134"/>
      <c r="G4" s="134"/>
    </row>
    <row r="5" spans="1:12" x14ac:dyDescent="0.2">
      <c r="A5" s="134"/>
      <c r="B5" s="134"/>
      <c r="C5" s="13" t="s">
        <v>7</v>
      </c>
      <c r="D5" s="13" t="s">
        <v>8</v>
      </c>
      <c r="E5" s="13" t="s">
        <v>7</v>
      </c>
      <c r="F5" s="13" t="s">
        <v>7</v>
      </c>
      <c r="G5" s="13" t="s">
        <v>8</v>
      </c>
    </row>
    <row r="6" spans="1:12" x14ac:dyDescent="0.2">
      <c r="A6" s="15">
        <v>1</v>
      </c>
      <c r="B6" s="6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12" x14ac:dyDescent="0.2">
      <c r="A7" s="132" t="s">
        <v>98</v>
      </c>
      <c r="B7" s="132"/>
      <c r="C7" s="132"/>
      <c r="D7" s="132"/>
      <c r="E7" s="132"/>
      <c r="F7" s="132"/>
      <c r="G7" s="132"/>
    </row>
    <row r="8" spans="1:12" ht="13.5" x14ac:dyDescent="0.25">
      <c r="A8" s="71">
        <v>1</v>
      </c>
      <c r="B8" s="116" t="s">
        <v>145</v>
      </c>
      <c r="C8" s="153">
        <f>[1]FORMULAR2!D12</f>
        <v>16185.1116</v>
      </c>
      <c r="D8" s="154">
        <f>C8/'Deviz General'!F$3</f>
        <v>3607.5944186875895</v>
      </c>
      <c r="E8" s="154">
        <f>C8*0.19</f>
        <v>3075.1712040000002</v>
      </c>
      <c r="F8" s="154">
        <f t="shared" ref="F8" si="0">C8+E8</f>
        <v>19260.282804000002</v>
      </c>
      <c r="G8" s="154">
        <f>F8/'Deviz General'!F$3</f>
        <v>4293.0373582382317</v>
      </c>
    </row>
    <row r="9" spans="1:12" ht="13.5" x14ac:dyDescent="0.25">
      <c r="A9" s="71">
        <v>2</v>
      </c>
      <c r="B9" s="116" t="s">
        <v>146</v>
      </c>
      <c r="C9" s="153">
        <f>[1]FORMULAR2!D13</f>
        <v>152963.52900000001</v>
      </c>
      <c r="D9" s="154">
        <f>C9/'Deviz General'!F$3</f>
        <v>34094.93781205421</v>
      </c>
      <c r="E9" s="154">
        <f t="shared" ref="E9:E12" si="1">C9*0.19</f>
        <v>29063.070510000001</v>
      </c>
      <c r="F9" s="154">
        <f t="shared" ref="F9" si="2">C9+E9</f>
        <v>182026.59951</v>
      </c>
      <c r="G9" s="154">
        <f>F9/'Deviz General'!F$3</f>
        <v>40572.97599634451</v>
      </c>
    </row>
    <row r="10" spans="1:12" ht="13.5" x14ac:dyDescent="0.25">
      <c r="A10" s="71">
        <v>3</v>
      </c>
      <c r="B10" s="116" t="s">
        <v>147</v>
      </c>
      <c r="C10" s="153">
        <f>[1]FORMULAR2!D14</f>
        <v>7916.4803266560002</v>
      </c>
      <c r="D10" s="154">
        <f>C10/'Deviz General'!F$3</f>
        <v>1764.5507147503567</v>
      </c>
      <c r="E10" s="154">
        <f t="shared" si="1"/>
        <v>1504.1312620646402</v>
      </c>
      <c r="F10" s="154">
        <f>C10+E10</f>
        <v>9420.6115887206397</v>
      </c>
      <c r="G10" s="154">
        <f>F10/'Deviz General'!F$3</f>
        <v>2099.8153505529244</v>
      </c>
    </row>
    <row r="11" spans="1:12" ht="13.5" x14ac:dyDescent="0.2">
      <c r="A11" s="71"/>
      <c r="B11" s="117" t="s">
        <v>148</v>
      </c>
      <c r="C11" s="153">
        <f>[1]FORMULAR2!D15</f>
        <v>0</v>
      </c>
      <c r="D11" s="154">
        <f>C11/'Deviz General'!F$3</f>
        <v>0</v>
      </c>
      <c r="E11" s="154">
        <f t="shared" si="1"/>
        <v>0</v>
      </c>
      <c r="F11" s="154">
        <f t="shared" ref="F11:F12" si="3">C11+E11</f>
        <v>0</v>
      </c>
      <c r="G11" s="154">
        <f>F11/'Deviz General'!F$3</f>
        <v>0</v>
      </c>
    </row>
    <row r="12" spans="1:12" ht="13.5" x14ac:dyDescent="0.2">
      <c r="A12" s="71">
        <v>4</v>
      </c>
      <c r="B12" s="117" t="s">
        <v>149</v>
      </c>
      <c r="C12" s="153">
        <f>[1]FORMULAR2!D16</f>
        <v>13600</v>
      </c>
      <c r="D12" s="154">
        <f>C12/'Deviz General'!F$3</f>
        <v>3031.3837375178318</v>
      </c>
      <c r="E12" s="154">
        <f t="shared" si="1"/>
        <v>2584</v>
      </c>
      <c r="F12" s="154">
        <f t="shared" si="3"/>
        <v>16184</v>
      </c>
      <c r="G12" s="154">
        <f>F12/'Deviz General'!F$3</f>
        <v>3607.3466476462199</v>
      </c>
    </row>
    <row r="13" spans="1:12" x14ac:dyDescent="0.2">
      <c r="A13" s="135" t="s">
        <v>99</v>
      </c>
      <c r="B13" s="136"/>
      <c r="C13" s="155">
        <f>SUM(C8:C12)</f>
        <v>190665.120926656</v>
      </c>
      <c r="D13" s="155">
        <f t="shared" ref="D13:G13" si="4">SUM(D8:D12)</f>
        <v>42498.466683009989</v>
      </c>
      <c r="E13" s="155">
        <f t="shared" si="4"/>
        <v>36226.372976064646</v>
      </c>
      <c r="F13" s="155">
        <f t="shared" si="4"/>
        <v>226891.49390272063</v>
      </c>
      <c r="G13" s="155">
        <f t="shared" si="4"/>
        <v>50573.175352781887</v>
      </c>
    </row>
    <row r="14" spans="1:12" x14ac:dyDescent="0.2">
      <c r="A14" s="137" t="s">
        <v>100</v>
      </c>
      <c r="B14" s="137"/>
      <c r="C14" s="138"/>
      <c r="D14" s="138"/>
      <c r="E14" s="138"/>
      <c r="F14" s="138"/>
      <c r="G14" s="138"/>
    </row>
    <row r="15" spans="1:12" ht="33" customHeight="1" x14ac:dyDescent="0.2">
      <c r="A15" s="19" t="s">
        <v>101</v>
      </c>
      <c r="B15" s="66" t="s">
        <v>102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L15" s="70"/>
    </row>
    <row r="16" spans="1:12" x14ac:dyDescent="0.2">
      <c r="A16" s="125" t="s">
        <v>103</v>
      </c>
      <c r="B16" s="125"/>
      <c r="C16" s="59">
        <v>0</v>
      </c>
      <c r="D16" s="59">
        <v>0</v>
      </c>
      <c r="E16" s="59">
        <v>0</v>
      </c>
      <c r="F16" s="59">
        <v>0</v>
      </c>
      <c r="G16" s="59">
        <v>0</v>
      </c>
      <c r="L16" s="69"/>
    </row>
    <row r="17" spans="1:13" x14ac:dyDescent="0.2">
      <c r="A17" s="137" t="s">
        <v>104</v>
      </c>
      <c r="B17" s="137"/>
      <c r="C17" s="137"/>
      <c r="D17" s="137"/>
      <c r="E17" s="137"/>
      <c r="F17" s="137"/>
      <c r="G17" s="137"/>
    </row>
    <row r="18" spans="1:13" ht="12.75" customHeight="1" x14ac:dyDescent="0.2">
      <c r="A18" s="19" t="s">
        <v>101</v>
      </c>
      <c r="B18" s="66" t="s">
        <v>105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13" ht="12.75" customHeight="1" x14ac:dyDescent="0.2">
      <c r="A19" s="19" t="s">
        <v>106</v>
      </c>
      <c r="B19" s="66" t="s">
        <v>107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13" ht="13.5" x14ac:dyDescent="0.2">
      <c r="A20" s="19" t="s">
        <v>108</v>
      </c>
      <c r="B20" s="66" t="s">
        <v>43</v>
      </c>
      <c r="C20" s="30">
        <f>[1]FORMULAR2!$D$18</f>
        <v>23420</v>
      </c>
      <c r="D20" s="154">
        <f>C20/'Deviz General'!F$3</f>
        <v>5220.2211126961483</v>
      </c>
      <c r="E20" s="154">
        <f>C20*0.19</f>
        <v>4449.8</v>
      </c>
      <c r="F20" s="154">
        <f t="shared" ref="F20" si="5">C20+E20</f>
        <v>27869.8</v>
      </c>
      <c r="G20" s="154">
        <f>F20/'Deviz General'!F$3</f>
        <v>6212.0631241084166</v>
      </c>
    </row>
    <row r="21" spans="1:13" x14ac:dyDescent="0.2">
      <c r="A21" s="125" t="s">
        <v>109</v>
      </c>
      <c r="B21" s="125"/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13" x14ac:dyDescent="0.2">
      <c r="A22" s="125" t="s">
        <v>110</v>
      </c>
      <c r="B22" s="125"/>
      <c r="C22" s="60">
        <f>C13+C16+C21</f>
        <v>190665.120926656</v>
      </c>
      <c r="D22" s="60">
        <f>D13+D16+D21</f>
        <v>42498.466683009989</v>
      </c>
      <c r="E22" s="60">
        <f>E13+E16+E21</f>
        <v>36226.372976064646</v>
      </c>
      <c r="F22" s="60">
        <f>F13+F16+F21</f>
        <v>226891.49390272063</v>
      </c>
      <c r="G22" s="60">
        <f>G13+G16+G21</f>
        <v>50573.175352781887</v>
      </c>
      <c r="K22" s="50"/>
      <c r="L22" s="50"/>
      <c r="M22" s="50"/>
    </row>
    <row r="24" spans="1:13" x14ac:dyDescent="0.2">
      <c r="C24" s="51"/>
    </row>
    <row r="27" spans="1:13" x14ac:dyDescent="0.2">
      <c r="C27" s="51"/>
    </row>
  </sheetData>
  <mergeCells count="13">
    <mergeCell ref="A13:B13"/>
    <mergeCell ref="A16:B16"/>
    <mergeCell ref="A21:B21"/>
    <mergeCell ref="A22:B22"/>
    <mergeCell ref="A17:G17"/>
    <mergeCell ref="A14:G14"/>
    <mergeCell ref="A7:G7"/>
    <mergeCell ref="A2:G2"/>
    <mergeCell ref="A3:A5"/>
    <mergeCell ref="B3:B5"/>
    <mergeCell ref="C3:D4"/>
    <mergeCell ref="E3:E4"/>
    <mergeCell ref="F3:G4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7" sqref="D17"/>
    </sheetView>
  </sheetViews>
  <sheetFormatPr defaultRowHeight="12.75" x14ac:dyDescent="0.2"/>
  <cols>
    <col min="1" max="1" width="5.140625" style="14" bestFit="1" customWidth="1"/>
    <col min="2" max="2" width="41.5703125" style="14" customWidth="1"/>
    <col min="3" max="3" width="10.7109375" style="14" bestFit="1" customWidth="1"/>
    <col min="4" max="4" width="8.85546875" style="14" bestFit="1" customWidth="1"/>
    <col min="5" max="5" width="8.7109375" style="14" bestFit="1" customWidth="1"/>
  </cols>
  <sheetData>
    <row r="1" spans="1:5" x14ac:dyDescent="0.2">
      <c r="A1" s="129" t="s">
        <v>111</v>
      </c>
      <c r="B1" s="129"/>
      <c r="C1" s="129"/>
      <c r="D1" s="129"/>
      <c r="E1" s="129"/>
    </row>
    <row r="2" spans="1:5" ht="63" customHeight="1" x14ac:dyDescent="0.2">
      <c r="A2" s="4" t="s">
        <v>67</v>
      </c>
      <c r="B2" s="4" t="s">
        <v>112</v>
      </c>
      <c r="C2" s="4" t="s">
        <v>113</v>
      </c>
      <c r="D2" s="4" t="s">
        <v>114</v>
      </c>
      <c r="E2" s="4" t="s">
        <v>115</v>
      </c>
    </row>
    <row r="3" spans="1:5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</row>
    <row r="4" spans="1:5" x14ac:dyDescent="0.2">
      <c r="A4" s="26" t="s">
        <v>116</v>
      </c>
      <c r="B4" s="11" t="s">
        <v>51</v>
      </c>
      <c r="C4" s="27">
        <f>'CAP4'!C22+'Deviz General'!C11*1000</f>
        <v>190665.120926656</v>
      </c>
      <c r="D4" s="28">
        <v>0</v>
      </c>
      <c r="E4" s="10">
        <f>C4*D4%</f>
        <v>0</v>
      </c>
    </row>
    <row r="5" spans="1:5" x14ac:dyDescent="0.2">
      <c r="A5" s="26" t="s">
        <v>117</v>
      </c>
      <c r="B5" s="11" t="s">
        <v>53</v>
      </c>
      <c r="C5" s="27">
        <f>C4</f>
        <v>190665.120926656</v>
      </c>
      <c r="D5" s="28">
        <v>0</v>
      </c>
      <c r="E5" s="10">
        <f>C5*D5%</f>
        <v>0</v>
      </c>
    </row>
    <row r="6" spans="1:5" x14ac:dyDescent="0.2">
      <c r="A6" s="128" t="s">
        <v>118</v>
      </c>
      <c r="B6" s="128"/>
      <c r="C6" s="128"/>
      <c r="D6" s="128"/>
      <c r="E6" s="61">
        <f>E4+E5</f>
        <v>0</v>
      </c>
    </row>
    <row r="7" spans="1:5" x14ac:dyDescent="0.2">
      <c r="A7" s="129" t="s">
        <v>119</v>
      </c>
      <c r="B7" s="129"/>
      <c r="C7" s="129"/>
      <c r="D7" s="129"/>
      <c r="E7" s="129"/>
    </row>
    <row r="8" spans="1:5" ht="38.25" x14ac:dyDescent="0.2">
      <c r="A8" s="4" t="s">
        <v>67</v>
      </c>
      <c r="B8" s="4" t="s">
        <v>112</v>
      </c>
      <c r="C8" s="4" t="s">
        <v>113</v>
      </c>
      <c r="D8" s="4" t="s">
        <v>114</v>
      </c>
      <c r="E8" s="4" t="s">
        <v>115</v>
      </c>
    </row>
    <row r="9" spans="1:5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x14ac:dyDescent="0.2">
      <c r="A10" s="26" t="s">
        <v>101</v>
      </c>
      <c r="B10" s="20" t="s">
        <v>120</v>
      </c>
      <c r="C10" s="3">
        <v>0</v>
      </c>
      <c r="D10" s="29">
        <v>0</v>
      </c>
      <c r="E10" s="30">
        <f>C10*D10%</f>
        <v>0</v>
      </c>
    </row>
    <row r="11" spans="1:5" ht="34.5" customHeight="1" x14ac:dyDescent="0.2">
      <c r="A11" s="19" t="s">
        <v>106</v>
      </c>
      <c r="B11" s="31" t="s">
        <v>121</v>
      </c>
      <c r="C11" s="3">
        <f>'CAP4'!C22+'Deviz General'!C11*1000</f>
        <v>190665.120926656</v>
      </c>
      <c r="D11" s="29">
        <v>0.6</v>
      </c>
      <c r="E11" s="30">
        <f>C11*D11%</f>
        <v>1143.990725559936</v>
      </c>
    </row>
    <row r="12" spans="1:5" x14ac:dyDescent="0.2">
      <c r="A12" s="26" t="s">
        <v>108</v>
      </c>
      <c r="B12" s="20" t="s">
        <v>122</v>
      </c>
      <c r="C12" s="27">
        <f>'CAP4'!C22+'Deviz General'!C11*1000</f>
        <v>190665.120926656</v>
      </c>
      <c r="D12" s="32">
        <v>0.5</v>
      </c>
      <c r="E12" s="25">
        <f>C12*D12%</f>
        <v>953.32560463328002</v>
      </c>
    </row>
    <row r="13" spans="1:5" x14ac:dyDescent="0.2">
      <c r="A13" s="128" t="s">
        <v>118</v>
      </c>
      <c r="B13" s="128"/>
      <c r="C13" s="128"/>
      <c r="D13" s="128"/>
      <c r="E13" s="61">
        <f>E10+E11+E12</f>
        <v>2097.3163301932159</v>
      </c>
    </row>
    <row r="14" spans="1:5" x14ac:dyDescent="0.2">
      <c r="A14" s="129" t="s">
        <v>123</v>
      </c>
      <c r="B14" s="129"/>
      <c r="C14" s="129"/>
      <c r="D14" s="129"/>
      <c r="E14" s="129"/>
    </row>
    <row r="15" spans="1:5" ht="38.25" x14ac:dyDescent="0.2">
      <c r="A15" s="4" t="s">
        <v>67</v>
      </c>
      <c r="B15" s="4" t="s">
        <v>112</v>
      </c>
      <c r="C15" s="4" t="s">
        <v>113</v>
      </c>
      <c r="D15" s="4" t="s">
        <v>114</v>
      </c>
      <c r="E15" s="4" t="s">
        <v>115</v>
      </c>
    </row>
    <row r="16" spans="1:5" x14ac:dyDescent="0.2">
      <c r="A16" s="2">
        <v>1</v>
      </c>
      <c r="B16" s="2">
        <v>2</v>
      </c>
      <c r="C16" s="2">
        <v>3</v>
      </c>
      <c r="D16" s="2">
        <v>4</v>
      </c>
      <c r="E16" s="2">
        <v>5</v>
      </c>
    </row>
    <row r="17" spans="1:5" ht="25.5" x14ac:dyDescent="0.2">
      <c r="A17" s="19" t="s">
        <v>101</v>
      </c>
      <c r="B17" s="33" t="s">
        <v>139</v>
      </c>
      <c r="C17" s="34">
        <f>('Deviz General'!C11+'Deviz General'!C12+'Deviz General'!C15+'Deviz General'!C23+'Deviz General'!C31)*1000</f>
        <v>227825.25774055588</v>
      </c>
      <c r="D17" s="3">
        <v>2</v>
      </c>
      <c r="E17" s="30">
        <f>C17*D17%</f>
        <v>4556.5051548111178</v>
      </c>
    </row>
    <row r="18" spans="1:5" x14ac:dyDescent="0.2">
      <c r="A18" s="128" t="s">
        <v>118</v>
      </c>
      <c r="B18" s="128"/>
      <c r="C18" s="128"/>
      <c r="D18" s="128"/>
      <c r="E18" s="61">
        <f>E17</f>
        <v>4556.5051548111178</v>
      </c>
    </row>
    <row r="22" spans="1:5" x14ac:dyDescent="0.2">
      <c r="C22" s="16"/>
    </row>
  </sheetData>
  <mergeCells count="6">
    <mergeCell ref="A18:D18"/>
    <mergeCell ref="A13:D13"/>
    <mergeCell ref="A14:E14"/>
    <mergeCell ref="A1:E1"/>
    <mergeCell ref="A6:D6"/>
    <mergeCell ref="A7:E7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15" sqref="B15"/>
    </sheetView>
  </sheetViews>
  <sheetFormatPr defaultRowHeight="12.75" x14ac:dyDescent="0.2"/>
  <cols>
    <col min="1" max="1" width="5.140625" style="12" bestFit="1" customWidth="1"/>
    <col min="2" max="2" width="56.85546875" style="12" bestFit="1" customWidth="1"/>
    <col min="3" max="3" width="6.28515625" style="12" bestFit="1" customWidth="1"/>
    <col min="4" max="16384" width="9.140625" style="1"/>
  </cols>
  <sheetData>
    <row r="3" spans="1:3" x14ac:dyDescent="0.2">
      <c r="A3" s="129" t="s">
        <v>124</v>
      </c>
      <c r="B3" s="129"/>
      <c r="C3" s="129"/>
    </row>
    <row r="4" spans="1:3" x14ac:dyDescent="0.2">
      <c r="A4" s="130"/>
      <c r="B4" s="130"/>
      <c r="C4" s="130"/>
    </row>
    <row r="5" spans="1:3" ht="25.5" x14ac:dyDescent="0.2">
      <c r="A5" s="35" t="s">
        <v>67</v>
      </c>
      <c r="B5" s="36" t="s">
        <v>69</v>
      </c>
      <c r="C5" s="37" t="s">
        <v>125</v>
      </c>
    </row>
    <row r="6" spans="1:3" x14ac:dyDescent="0.2">
      <c r="A6" s="38">
        <v>1</v>
      </c>
      <c r="B6" s="39">
        <v>2</v>
      </c>
      <c r="C6" s="40">
        <v>3</v>
      </c>
    </row>
    <row r="7" spans="1:3" ht="35.25" customHeight="1" x14ac:dyDescent="0.2">
      <c r="A7" s="41" t="s">
        <v>60</v>
      </c>
      <c r="B7" s="42" t="s">
        <v>126</v>
      </c>
      <c r="C7" s="43">
        <v>0</v>
      </c>
    </row>
    <row r="8" spans="1:3" ht="25.5" x14ac:dyDescent="0.2">
      <c r="A8" s="44" t="s">
        <v>62</v>
      </c>
      <c r="B8" s="45" t="s">
        <v>127</v>
      </c>
      <c r="C8" s="46">
        <v>0</v>
      </c>
    </row>
    <row r="9" spans="1:3" x14ac:dyDescent="0.2">
      <c r="A9" s="139" t="s">
        <v>71</v>
      </c>
      <c r="B9" s="139"/>
      <c r="C9" s="63">
        <f>SUM(C7:C8)</f>
        <v>0</v>
      </c>
    </row>
  </sheetData>
  <mergeCells count="3">
    <mergeCell ref="A3:C3"/>
    <mergeCell ref="A4:C4"/>
    <mergeCell ref="A9:B9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50" sqref="G50"/>
    </sheetView>
  </sheetViews>
  <sheetFormatPr defaultRowHeight="12.75" x14ac:dyDescent="0.2"/>
  <cols>
    <col min="1" max="1" width="28.7109375" style="76" bestFit="1" customWidth="1"/>
    <col min="2" max="2" width="6.140625" style="76" bestFit="1" customWidth="1"/>
    <col min="3" max="3" width="7.28515625" style="76" bestFit="1" customWidth="1"/>
    <col min="4" max="4" width="10" style="76" bestFit="1" customWidth="1"/>
    <col min="5" max="6" width="11" style="76" bestFit="1" customWidth="1"/>
    <col min="7" max="7" width="13.42578125" style="76" bestFit="1" customWidth="1"/>
    <col min="8" max="8" width="9.140625" style="76"/>
    <col min="9" max="9" width="11.85546875" style="76" bestFit="1" customWidth="1"/>
    <col min="10" max="10" width="9.140625" style="76"/>
    <col min="11" max="11" width="49.7109375" style="76" bestFit="1" customWidth="1"/>
    <col min="12" max="12" width="11.28515625" style="76" bestFit="1" customWidth="1"/>
    <col min="13" max="16384" width="9.140625" style="76"/>
  </cols>
  <sheetData>
    <row r="1" spans="1:12" x14ac:dyDescent="0.2">
      <c r="A1" s="72"/>
      <c r="B1" s="72"/>
      <c r="C1" s="150"/>
      <c r="D1" s="150"/>
      <c r="E1" s="73"/>
      <c r="F1" s="74"/>
      <c r="G1" s="75"/>
    </row>
    <row r="2" spans="1:12" x14ac:dyDescent="0.2">
      <c r="A2" s="77" t="s">
        <v>131</v>
      </c>
      <c r="B2" s="78"/>
      <c r="C2" s="151" t="s">
        <v>132</v>
      </c>
      <c r="D2" s="152"/>
      <c r="E2" s="152"/>
      <c r="F2" s="152"/>
      <c r="G2" s="79" t="s">
        <v>133</v>
      </c>
    </row>
    <row r="3" spans="1:12" x14ac:dyDescent="0.2">
      <c r="A3" s="80"/>
      <c r="B3" s="81"/>
      <c r="C3" s="82">
        <v>1</v>
      </c>
      <c r="D3" s="82">
        <v>2</v>
      </c>
      <c r="E3" s="82">
        <v>3</v>
      </c>
      <c r="F3" s="82">
        <v>4</v>
      </c>
      <c r="G3" s="82"/>
    </row>
    <row r="4" spans="1:12" x14ac:dyDescent="0.2">
      <c r="A4" s="144" t="s">
        <v>138</v>
      </c>
      <c r="B4" s="83" t="s">
        <v>134</v>
      </c>
      <c r="C4" s="84"/>
      <c r="D4" s="85"/>
      <c r="E4" s="85"/>
      <c r="F4" s="85"/>
      <c r="G4" s="86"/>
    </row>
    <row r="5" spans="1:12" x14ac:dyDescent="0.2">
      <c r="A5" s="145"/>
      <c r="B5" s="83" t="s">
        <v>135</v>
      </c>
      <c r="C5" s="87">
        <f>I5/4</f>
        <v>714.99420347496016</v>
      </c>
      <c r="D5" s="87">
        <f>C5</f>
        <v>714.99420347496016</v>
      </c>
      <c r="E5" s="87">
        <f t="shared" ref="E5:F5" si="0">D5</f>
        <v>714.99420347496016</v>
      </c>
      <c r="F5" s="87">
        <f t="shared" si="0"/>
        <v>714.99420347496016</v>
      </c>
      <c r="G5" s="100">
        <f>SUM(C5:F5)</f>
        <v>2859.9768138998406</v>
      </c>
      <c r="I5" s="89">
        <f>'CAP3'!C47</f>
        <v>2859.9768138998406</v>
      </c>
      <c r="K5" s="115" t="str">
        <f>[1]FORMULAR2!C12</f>
        <v xml:space="preserve">Categorie:  TERASAMENTEAMENAJARE TEREN DE SPORT SI ALEI </v>
      </c>
      <c r="L5" s="115">
        <f>[1]FORMULAR2!D12</f>
        <v>16185.1116</v>
      </c>
    </row>
    <row r="6" spans="1:12" x14ac:dyDescent="0.2">
      <c r="A6" s="142" t="s">
        <v>141</v>
      </c>
      <c r="B6" s="83" t="s">
        <v>134</v>
      </c>
      <c r="C6" s="87"/>
      <c r="D6" s="95"/>
      <c r="E6" s="95"/>
      <c r="F6" s="95"/>
      <c r="G6" s="100"/>
      <c r="K6" s="99" t="str">
        <f>[1]FORMULAR2!C13</f>
        <v xml:space="preserve">Categorie:  AMENAJARE TEREN DE SPORT SI ALEI </v>
      </c>
      <c r="L6" s="115">
        <f>[1]FORMULAR2!D13</f>
        <v>152963.52900000001</v>
      </c>
    </row>
    <row r="7" spans="1:12" x14ac:dyDescent="0.2">
      <c r="A7" s="142"/>
      <c r="B7" s="83" t="s">
        <v>135</v>
      </c>
      <c r="C7" s="88"/>
      <c r="D7" s="90">
        <f>L5</f>
        <v>16185.1116</v>
      </c>
      <c r="E7" s="90"/>
      <c r="F7" s="90"/>
      <c r="G7" s="100">
        <f>SUM(C7:F7)</f>
        <v>16185.1116</v>
      </c>
      <c r="I7" s="89">
        <f>L6</f>
        <v>152963.52900000001</v>
      </c>
      <c r="K7" s="99" t="str">
        <f>[1]FORMULAR2!C14</f>
        <v>Categorie:  AMENAJARE IRIGATIE TEREN DE SPORT</v>
      </c>
      <c r="L7" s="115">
        <f>[1]FORMULAR2!D14</f>
        <v>7916.4803266560002</v>
      </c>
    </row>
    <row r="8" spans="1:12" x14ac:dyDescent="0.2">
      <c r="A8" s="142" t="str">
        <f>K6</f>
        <v xml:space="preserve">Categorie:  AMENAJARE TEREN DE SPORT SI ALEI </v>
      </c>
      <c r="B8" s="83" t="s">
        <v>134</v>
      </c>
      <c r="C8" s="87"/>
      <c r="D8" s="88"/>
      <c r="E8" s="110"/>
      <c r="F8" s="110"/>
      <c r="G8" s="100"/>
      <c r="K8" s="99">
        <f>[1]FORMULAR2!C15</f>
        <v>0</v>
      </c>
      <c r="L8" s="115">
        <f>[1]FORMULAR2!D15</f>
        <v>0</v>
      </c>
    </row>
    <row r="9" spans="1:12" x14ac:dyDescent="0.2">
      <c r="A9" s="142"/>
      <c r="B9" s="83" t="s">
        <v>135</v>
      </c>
      <c r="C9" s="88"/>
      <c r="D9" s="90"/>
      <c r="E9" s="102">
        <f>L6/2</f>
        <v>76481.764500000005</v>
      </c>
      <c r="F9" s="102">
        <f>E9</f>
        <v>76481.764500000005</v>
      </c>
      <c r="G9" s="100">
        <f>SUM(C9:F9)</f>
        <v>152963.52900000001</v>
      </c>
      <c r="I9" s="89">
        <f>L7</f>
        <v>7916.4803266560002</v>
      </c>
      <c r="K9" s="115" t="str">
        <f>[1]FORMULAR2!C16</f>
        <v>Categorie: 04 Iluminat teren de sport</v>
      </c>
      <c r="L9" s="115">
        <f>[1]FORMULAR2!D16</f>
        <v>13600</v>
      </c>
    </row>
    <row r="10" spans="1:12" x14ac:dyDescent="0.2">
      <c r="A10" s="142" t="str">
        <f>K7</f>
        <v>Categorie:  AMENAJARE IRIGATIE TEREN DE SPORT</v>
      </c>
      <c r="B10" s="83" t="s">
        <v>134</v>
      </c>
      <c r="C10" s="88"/>
      <c r="D10" s="95"/>
      <c r="F10" s="111"/>
      <c r="G10" s="100"/>
      <c r="I10" s="89"/>
      <c r="K10" s="89"/>
      <c r="L10" s="89">
        <f>SUM(L5:L9)</f>
        <v>190665.120926656</v>
      </c>
    </row>
    <row r="11" spans="1:12" x14ac:dyDescent="0.2">
      <c r="A11" s="142"/>
      <c r="B11" s="83" t="s">
        <v>135</v>
      </c>
      <c r="C11" s="88"/>
      <c r="D11" s="90">
        <f>L7</f>
        <v>7916.4803266560002</v>
      </c>
      <c r="E11" s="90"/>
      <c r="F11" s="90"/>
      <c r="G11" s="100">
        <f>SUM(C11:F11)</f>
        <v>7916.4803266560002</v>
      </c>
      <c r="I11" s="89"/>
      <c r="K11" s="89" t="s">
        <v>144</v>
      </c>
      <c r="L11" s="89">
        <f>[1]FORMULAR2!$D$18</f>
        <v>23420</v>
      </c>
    </row>
    <row r="12" spans="1:12" x14ac:dyDescent="0.2">
      <c r="A12" s="142">
        <f>K8</f>
        <v>0</v>
      </c>
      <c r="B12" s="83" t="s">
        <v>134</v>
      </c>
      <c r="C12" s="87"/>
      <c r="D12" s="94"/>
      <c r="E12" s="112"/>
      <c r="F12" s="112"/>
      <c r="G12" s="100"/>
      <c r="K12" s="89"/>
      <c r="L12" s="89">
        <f>L11+L10</f>
        <v>214085.120926656</v>
      </c>
    </row>
    <row r="13" spans="1:12" x14ac:dyDescent="0.2">
      <c r="A13" s="142"/>
      <c r="B13" s="83" t="s">
        <v>135</v>
      </c>
      <c r="C13" s="88"/>
      <c r="D13" s="90">
        <f>L8</f>
        <v>0</v>
      </c>
      <c r="E13" s="90"/>
      <c r="F13" s="90"/>
      <c r="G13" s="100">
        <f>SUM(C13:F13)</f>
        <v>0</v>
      </c>
      <c r="K13" s="99"/>
      <c r="L13" s="89"/>
    </row>
    <row r="14" spans="1:12" x14ac:dyDescent="0.2">
      <c r="A14" s="142" t="str">
        <f>K9</f>
        <v>Categorie: 04 Iluminat teren de sport</v>
      </c>
      <c r="B14" s="83" t="s">
        <v>134</v>
      </c>
      <c r="C14" s="88"/>
      <c r="D14" s="90"/>
      <c r="E14" s="90"/>
      <c r="F14" s="114"/>
      <c r="G14" s="100"/>
      <c r="K14" s="113"/>
      <c r="L14" s="89"/>
    </row>
    <row r="15" spans="1:12" x14ac:dyDescent="0.2">
      <c r="A15" s="142"/>
      <c r="B15" s="83" t="s">
        <v>135</v>
      </c>
      <c r="C15" s="88"/>
      <c r="D15" s="90"/>
      <c r="E15" s="90"/>
      <c r="F15" s="90">
        <f>L9</f>
        <v>13600</v>
      </c>
      <c r="G15" s="100">
        <f>SUM(C15:F15)</f>
        <v>13600</v>
      </c>
      <c r="K15" s="113"/>
      <c r="L15" s="89"/>
    </row>
    <row r="16" spans="1:12" x14ac:dyDescent="0.2">
      <c r="A16" s="142" t="str">
        <f>K11</f>
        <v>Dotari</v>
      </c>
      <c r="B16" s="83" t="s">
        <v>134</v>
      </c>
      <c r="C16" s="88"/>
      <c r="D16" s="90"/>
      <c r="E16" s="90"/>
      <c r="F16" s="114"/>
      <c r="G16" s="100"/>
      <c r="K16" s="113"/>
      <c r="L16" s="89"/>
    </row>
    <row r="17" spans="1:12" x14ac:dyDescent="0.2">
      <c r="A17" s="142"/>
      <c r="B17" s="83" t="s">
        <v>135</v>
      </c>
      <c r="C17" s="88"/>
      <c r="D17" s="90"/>
      <c r="E17" s="90"/>
      <c r="F17" s="90">
        <f>L11</f>
        <v>23420</v>
      </c>
      <c r="G17" s="100">
        <f>SUM(C17:F17)</f>
        <v>23420</v>
      </c>
      <c r="K17" s="113"/>
      <c r="L17" s="89"/>
    </row>
    <row r="18" spans="1:12" ht="12" customHeight="1" x14ac:dyDescent="0.2">
      <c r="A18" s="146" t="s">
        <v>136</v>
      </c>
      <c r="B18" s="146"/>
      <c r="C18" s="91">
        <f>SUM(C4:C17)</f>
        <v>714.99420347496016</v>
      </c>
      <c r="D18" s="91">
        <f t="shared" ref="D18:F18" si="1">SUM(D4:D17)</f>
        <v>24816.58613013096</v>
      </c>
      <c r="E18" s="91">
        <f t="shared" si="1"/>
        <v>77196.758703474959</v>
      </c>
      <c r="F18" s="91">
        <f t="shared" si="1"/>
        <v>114216.75870347496</v>
      </c>
      <c r="G18" s="101">
        <f>SUM(G5:G17)</f>
        <v>216945.09774055585</v>
      </c>
    </row>
    <row r="19" spans="1:12" x14ac:dyDescent="0.2">
      <c r="A19" s="149" t="s">
        <v>136</v>
      </c>
      <c r="B19" s="149"/>
      <c r="C19" s="147">
        <f>SUM(C18:F18)</f>
        <v>216945.09774055582</v>
      </c>
      <c r="D19" s="148"/>
      <c r="E19" s="148"/>
      <c r="F19" s="148"/>
      <c r="G19" s="100">
        <f>C19+F19</f>
        <v>216945.09774055582</v>
      </c>
    </row>
    <row r="20" spans="1:12" x14ac:dyDescent="0.2">
      <c r="A20" s="143" t="s">
        <v>137</v>
      </c>
      <c r="B20" s="143"/>
      <c r="C20" s="92">
        <f>C18/G$19</f>
        <v>3.2957380043222742E-3</v>
      </c>
      <c r="D20" s="92">
        <f>D18/G$19</f>
        <v>0.11439108967472066</v>
      </c>
      <c r="E20" s="92">
        <f>E18/G$19</f>
        <v>0.35583546024992185</v>
      </c>
      <c r="F20" s="92">
        <f>F18/G$19</f>
        <v>0.52647771207103533</v>
      </c>
      <c r="G20" s="93">
        <f>SUM(C20:F20)</f>
        <v>1</v>
      </c>
    </row>
    <row r="24" spans="1:12" x14ac:dyDescent="0.2">
      <c r="D24" s="109">
        <f>SUM(D7:D13)</f>
        <v>24101.591926656001</v>
      </c>
      <c r="E24" s="109">
        <f>SUM(E7:E13)</f>
        <v>76481.764500000005</v>
      </c>
      <c r="F24" s="109">
        <f>SUM(F7:F13)</f>
        <v>76481.764500000005</v>
      </c>
    </row>
    <row r="25" spans="1:12" x14ac:dyDescent="0.2">
      <c r="C25" s="140" t="e">
        <f>D24+E24+F24+#REF!+#REF!</f>
        <v>#REF!</v>
      </c>
      <c r="D25" s="141"/>
      <c r="E25" s="141"/>
      <c r="F25" s="141"/>
    </row>
  </sheetData>
  <mergeCells count="14">
    <mergeCell ref="C1:D1"/>
    <mergeCell ref="C2:F2"/>
    <mergeCell ref="A6:A7"/>
    <mergeCell ref="A8:A9"/>
    <mergeCell ref="A12:A13"/>
    <mergeCell ref="C25:F25"/>
    <mergeCell ref="A10:A11"/>
    <mergeCell ref="A20:B20"/>
    <mergeCell ref="A4:A5"/>
    <mergeCell ref="A18:B18"/>
    <mergeCell ref="A14:A15"/>
    <mergeCell ref="C19:F19"/>
    <mergeCell ref="A19:B19"/>
    <mergeCell ref="A16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Deviz General</vt:lpstr>
      <vt:lpstr>CAP3</vt:lpstr>
      <vt:lpstr>CAP4</vt:lpstr>
      <vt:lpstr>CAP5</vt:lpstr>
      <vt:lpstr>CAP6</vt:lpstr>
      <vt:lpstr>grafic</vt:lpstr>
      <vt:lpstr>'Deviz General'!Print_Area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</dc:creator>
  <cp:lastModifiedBy>LukacsP</cp:lastModifiedBy>
  <cp:lastPrinted>2014-10-08T15:04:31Z</cp:lastPrinted>
  <dcterms:created xsi:type="dcterms:W3CDTF">2009-06-26T06:01:59Z</dcterms:created>
  <dcterms:modified xsi:type="dcterms:W3CDTF">2017-02-22T14:24:02Z</dcterms:modified>
</cp:coreProperties>
</file>